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Table description" sheetId="2" r:id="rId1"/>
    <sheet name="Data table"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74" i="1" l="1"/>
  <c r="M74" i="1"/>
  <c r="W74" i="1" s="1"/>
  <c r="D74" i="1"/>
  <c r="X73" i="1"/>
  <c r="M73" i="1"/>
  <c r="W73" i="1" s="1"/>
  <c r="X72" i="1"/>
  <c r="M72" i="1"/>
  <c r="AA72" i="1" s="1"/>
  <c r="X71" i="1"/>
  <c r="M71" i="1"/>
  <c r="AA71" i="1" s="1"/>
  <c r="X70" i="1"/>
  <c r="M70" i="1"/>
  <c r="W70" i="1" s="1"/>
  <c r="X69" i="1"/>
  <c r="M69" i="1"/>
  <c r="W69" i="1" s="1"/>
  <c r="X68" i="1"/>
  <c r="M68" i="1"/>
  <c r="AE67" i="1"/>
  <c r="Y67" i="1"/>
  <c r="X67" i="1"/>
  <c r="M67" i="1"/>
  <c r="AA67" i="1" s="1"/>
  <c r="AE66" i="1"/>
  <c r="AF66" i="1" s="1"/>
  <c r="AH66" i="1" s="1"/>
  <c r="Y66" i="1"/>
  <c r="X66" i="1"/>
  <c r="M66" i="1"/>
  <c r="W66" i="1" s="1"/>
  <c r="X65" i="1"/>
  <c r="M65" i="1"/>
  <c r="AA65" i="1" s="1"/>
  <c r="D65" i="1"/>
  <c r="X64" i="1"/>
  <c r="M64" i="1"/>
  <c r="D64" i="1"/>
  <c r="X63" i="1"/>
  <c r="M63" i="1"/>
  <c r="AA63" i="1" s="1"/>
  <c r="X62" i="1"/>
  <c r="M62" i="1"/>
  <c r="W62" i="1" s="1"/>
  <c r="X61" i="1"/>
  <c r="M61" i="1"/>
  <c r="W61" i="1" s="1"/>
  <c r="X60" i="1"/>
  <c r="M60" i="1"/>
  <c r="AA60" i="1" s="1"/>
  <c r="X59" i="1"/>
  <c r="M59" i="1"/>
  <c r="W59" i="1" s="1"/>
  <c r="X58" i="1"/>
  <c r="M58" i="1"/>
  <c r="AA58" i="1" s="1"/>
  <c r="X57" i="1"/>
  <c r="M57" i="1"/>
  <c r="W57" i="1" s="1"/>
  <c r="X56" i="1"/>
  <c r="M56" i="1"/>
  <c r="AA56" i="1" s="1"/>
  <c r="X55" i="1"/>
  <c r="M55" i="1"/>
  <c r="W55" i="1" s="1"/>
  <c r="X54" i="1"/>
  <c r="M54" i="1"/>
  <c r="W54" i="1" s="1"/>
  <c r="D54" i="1"/>
  <c r="X53" i="1"/>
  <c r="M53" i="1"/>
  <c r="AA53" i="1" s="1"/>
  <c r="AC53" i="1" s="1"/>
  <c r="X52" i="1"/>
  <c r="M52" i="1"/>
  <c r="AA52" i="1" s="1"/>
  <c r="AC52" i="1" s="1"/>
  <c r="X51" i="1"/>
  <c r="M51" i="1"/>
  <c r="AA51" i="1" s="1"/>
  <c r="X50" i="1"/>
  <c r="M50" i="1"/>
  <c r="X49" i="1"/>
  <c r="M49" i="1"/>
  <c r="X48" i="1"/>
  <c r="M48" i="1"/>
  <c r="X47" i="1"/>
  <c r="M47" i="1"/>
  <c r="X46" i="1"/>
  <c r="M46" i="1"/>
  <c r="AA46" i="1" s="1"/>
  <c r="X45" i="1"/>
  <c r="M45" i="1"/>
  <c r="AA45" i="1" s="1"/>
  <c r="AE44" i="1"/>
  <c r="AF44" i="1" s="1"/>
  <c r="AH44" i="1" s="1"/>
  <c r="Y44" i="1"/>
  <c r="X44" i="1"/>
  <c r="M44" i="1"/>
  <c r="X43" i="1"/>
  <c r="M43" i="1"/>
  <c r="X42" i="1"/>
  <c r="M42" i="1"/>
  <c r="X41" i="1"/>
  <c r="M41" i="1"/>
  <c r="AE40" i="1"/>
  <c r="AG40" i="1" s="1"/>
  <c r="Y40" i="1"/>
  <c r="X40" i="1"/>
  <c r="M40" i="1"/>
  <c r="AA40" i="1" s="1"/>
  <c r="X39" i="1"/>
  <c r="M39" i="1"/>
  <c r="AA39" i="1" s="1"/>
  <c r="AE38" i="1"/>
  <c r="AF38" i="1" s="1"/>
  <c r="AH38" i="1" s="1"/>
  <c r="Y38" i="1"/>
  <c r="X38" i="1"/>
  <c r="M38" i="1"/>
  <c r="AA38" i="1" s="1"/>
  <c r="X37" i="1"/>
  <c r="M37" i="1"/>
  <c r="W37" i="1" s="1"/>
  <c r="X36" i="1"/>
  <c r="M36" i="1"/>
  <c r="AA36" i="1" s="1"/>
  <c r="AE35" i="1"/>
  <c r="Y35" i="1"/>
  <c r="X35" i="1"/>
  <c r="M35" i="1"/>
  <c r="W35" i="1" s="1"/>
  <c r="X34" i="1"/>
  <c r="M34" i="1"/>
  <c r="W34" i="1" s="1"/>
  <c r="X33" i="1"/>
  <c r="M33" i="1"/>
  <c r="AA33" i="1" s="1"/>
  <c r="AC33" i="1" s="1"/>
  <c r="X32" i="1"/>
  <c r="M32" i="1"/>
  <c r="AA32" i="1" s="1"/>
  <c r="AE31" i="1"/>
  <c r="AG31" i="1" s="1"/>
  <c r="Y31" i="1"/>
  <c r="X31" i="1"/>
  <c r="M31" i="1"/>
  <c r="X30" i="1"/>
  <c r="M30" i="1"/>
  <c r="AE29" i="1"/>
  <c r="AG29" i="1" s="1"/>
  <c r="Y29" i="1"/>
  <c r="X29" i="1"/>
  <c r="M29" i="1"/>
  <c r="W29" i="1" s="1"/>
  <c r="D29" i="1"/>
  <c r="AE28" i="1"/>
  <c r="AF28" i="1" s="1"/>
  <c r="AH28" i="1" s="1"/>
  <c r="Y28" i="1"/>
  <c r="X28" i="1"/>
  <c r="M28" i="1"/>
  <c r="AA28" i="1" s="1"/>
  <c r="AC28" i="1" s="1"/>
  <c r="AE27" i="1"/>
  <c r="AG27" i="1" s="1"/>
  <c r="Y27" i="1"/>
  <c r="X27" i="1"/>
  <c r="M27" i="1"/>
  <c r="W27" i="1" s="1"/>
  <c r="X26" i="1"/>
  <c r="M26" i="1"/>
  <c r="W26" i="1" s="1"/>
  <c r="X25" i="1"/>
  <c r="M25" i="1"/>
  <c r="W25" i="1" s="1"/>
  <c r="X24" i="1"/>
  <c r="M24" i="1"/>
  <c r="AA24" i="1" s="1"/>
  <c r="AC24" i="1" s="1"/>
  <c r="X23" i="1"/>
  <c r="M23" i="1"/>
  <c r="AA23" i="1" s="1"/>
  <c r="AC23" i="1" s="1"/>
  <c r="AE22" i="1"/>
  <c r="AF22" i="1" s="1"/>
  <c r="AH22" i="1" s="1"/>
  <c r="Y22" i="1"/>
  <c r="X22" i="1"/>
  <c r="M22" i="1"/>
  <c r="AE21" i="1"/>
  <c r="Y21" i="1"/>
  <c r="X21" i="1"/>
  <c r="M21" i="1"/>
  <c r="W21" i="1" s="1"/>
  <c r="AE20" i="1"/>
  <c r="AF20" i="1" s="1"/>
  <c r="AH20" i="1" s="1"/>
  <c r="Y20" i="1"/>
  <c r="X20" i="1"/>
  <c r="M20" i="1"/>
  <c r="AA20" i="1" s="1"/>
  <c r="AB20" i="1" s="1"/>
  <c r="AD20" i="1" s="1"/>
  <c r="AE19" i="1"/>
  <c r="AF19" i="1" s="1"/>
  <c r="AH19" i="1" s="1"/>
  <c r="Y19" i="1"/>
  <c r="X19" i="1"/>
  <c r="M19" i="1"/>
  <c r="AA19" i="1" s="1"/>
  <c r="X18" i="1"/>
  <c r="M18" i="1"/>
  <c r="AE17" i="1"/>
  <c r="AF17" i="1" s="1"/>
  <c r="AH17" i="1" s="1"/>
  <c r="Y17" i="1"/>
  <c r="X17" i="1"/>
  <c r="M17" i="1"/>
  <c r="AA17" i="1" s="1"/>
  <c r="AC17" i="1" s="1"/>
  <c r="X16" i="1"/>
  <c r="M16" i="1"/>
  <c r="AA16" i="1" s="1"/>
  <c r="AB16" i="1" s="1"/>
  <c r="AD16" i="1" s="1"/>
  <c r="AE15" i="1"/>
  <c r="AG15" i="1" s="1"/>
  <c r="Y15" i="1"/>
  <c r="X15" i="1"/>
  <c r="M15" i="1"/>
  <c r="AA15" i="1" s="1"/>
  <c r="X14" i="1"/>
  <c r="M14" i="1"/>
  <c r="AA14" i="1" s="1"/>
  <c r="X13" i="1"/>
  <c r="M13" i="1"/>
  <c r="AA13" i="1" s="1"/>
  <c r="AB13" i="1" s="1"/>
  <c r="AD13" i="1" s="1"/>
  <c r="X12" i="1"/>
  <c r="M12" i="1"/>
  <c r="W12" i="1" s="1"/>
  <c r="X11" i="1"/>
  <c r="M11" i="1"/>
  <c r="W11" i="1" s="1"/>
  <c r="X10" i="1"/>
  <c r="M10" i="1"/>
  <c r="W10" i="1" s="1"/>
  <c r="X9" i="1"/>
  <c r="M9" i="1"/>
  <c r="W9" i="1" s="1"/>
  <c r="D9" i="1"/>
  <c r="X8" i="1"/>
  <c r="M8" i="1"/>
  <c r="W8" i="1" s="1"/>
  <c r="D8" i="1"/>
  <c r="AE7" i="1"/>
  <c r="AG7" i="1" s="1"/>
  <c r="Y7" i="1"/>
  <c r="X7" i="1"/>
  <c r="M7" i="1"/>
  <c r="AA7" i="1" s="1"/>
  <c r="AC7" i="1" s="1"/>
  <c r="D7" i="1"/>
  <c r="X6" i="1"/>
  <c r="M6" i="1"/>
  <c r="AA6" i="1" s="1"/>
  <c r="D6" i="1"/>
  <c r="X5" i="1"/>
  <c r="M5" i="1"/>
  <c r="AA5" i="1" s="1"/>
  <c r="D5" i="1"/>
  <c r="AE4" i="1"/>
  <c r="AG4" i="1" s="1"/>
  <c r="Y4" i="1"/>
  <c r="Z4" i="1" s="1"/>
  <c r="X4" i="1"/>
  <c r="M4" i="1"/>
  <c r="AA4" i="1" s="1"/>
  <c r="D4" i="1"/>
  <c r="X3" i="1"/>
  <c r="M3" i="1"/>
  <c r="AA3" i="1" s="1"/>
  <c r="AC3" i="1" s="1"/>
  <c r="D3" i="1"/>
  <c r="AE2" i="1"/>
  <c r="AG2" i="1" s="1"/>
  <c r="Y2" i="1"/>
  <c r="X2" i="1"/>
  <c r="M2" i="1"/>
  <c r="AA2" i="1" s="1"/>
  <c r="D2" i="1"/>
  <c r="AA62" i="1" l="1"/>
  <c r="AB62" i="1" s="1"/>
  <c r="AD62" i="1" s="1"/>
  <c r="AA10" i="1"/>
  <c r="AC10" i="1" s="1"/>
  <c r="AA54" i="1"/>
  <c r="AC54" i="1" s="1"/>
  <c r="W58" i="1"/>
  <c r="W53" i="1"/>
  <c r="AA73" i="1"/>
  <c r="AC73" i="1" s="1"/>
  <c r="AA61" i="1"/>
  <c r="AB61" i="1" s="1"/>
  <c r="AD61" i="1" s="1"/>
  <c r="AB17" i="1"/>
  <c r="AD17" i="1" s="1"/>
  <c r="AA27" i="1"/>
  <c r="AB27" i="1" s="1"/>
  <c r="AD27" i="1" s="1"/>
  <c r="AC16" i="1"/>
  <c r="AG28" i="1"/>
  <c r="AF29" i="1"/>
  <c r="AH29" i="1" s="1"/>
  <c r="W67" i="1"/>
  <c r="AA69" i="1"/>
  <c r="AC69" i="1" s="1"/>
  <c r="W4" i="1"/>
  <c r="AB24" i="1"/>
  <c r="AD24" i="1" s="1"/>
  <c r="AG66" i="1"/>
  <c r="AG17" i="1"/>
  <c r="AA26" i="1"/>
  <c r="AC26" i="1" s="1"/>
  <c r="W2" i="1"/>
  <c r="W6" i="1"/>
  <c r="AA12" i="1"/>
  <c r="AC12" i="1" s="1"/>
  <c r="AG44" i="1"/>
  <c r="W3" i="1"/>
  <c r="AF4" i="1"/>
  <c r="AH4" i="1" s="1"/>
  <c r="AF7" i="1"/>
  <c r="AH7" i="1" s="1"/>
  <c r="W13" i="1"/>
  <c r="W65" i="1"/>
  <c r="Z66" i="1"/>
  <c r="Z67" i="1"/>
  <c r="W72" i="1"/>
  <c r="W7" i="1"/>
  <c r="AG19" i="1"/>
  <c r="AA25" i="1"/>
  <c r="AG38" i="1"/>
  <c r="W60" i="1"/>
  <c r="AA70" i="1"/>
  <c r="AA74" i="1"/>
  <c r="AB74" i="1" s="1"/>
  <c r="AD74" i="1" s="1"/>
  <c r="AG22" i="1"/>
  <c r="W36" i="1"/>
  <c r="W46" i="1"/>
  <c r="AC5" i="1"/>
  <c r="AB5" i="1"/>
  <c r="AD5" i="1" s="1"/>
  <c r="AB38" i="1"/>
  <c r="AD38" i="1" s="1"/>
  <c r="AC38" i="1"/>
  <c r="AC51" i="1"/>
  <c r="AB51" i="1"/>
  <c r="AD51" i="1" s="1"/>
  <c r="AC32" i="1"/>
  <c r="AB32" i="1"/>
  <c r="AD32" i="1" s="1"/>
  <c r="AB40" i="1"/>
  <c r="AD40" i="1" s="1"/>
  <c r="AC40" i="1"/>
  <c r="W15" i="1"/>
  <c r="AF15" i="1"/>
  <c r="AH15" i="1" s="1"/>
  <c r="W23" i="1"/>
  <c r="W32" i="1"/>
  <c r="AA34" i="1"/>
  <c r="W40" i="1"/>
  <c r="AF40" i="1"/>
  <c r="AH40" i="1" s="1"/>
  <c r="W45" i="1"/>
  <c r="W51" i="1"/>
  <c r="AA57" i="1"/>
  <c r="AC57" i="1" s="1"/>
  <c r="W63" i="1"/>
  <c r="AC20" i="1"/>
  <c r="Z21" i="1"/>
  <c r="AB33" i="1"/>
  <c r="AD33" i="1" s="1"/>
  <c r="AA35" i="1"/>
  <c r="AB35" i="1" s="1"/>
  <c r="AD35" i="1" s="1"/>
  <c r="W38" i="1"/>
  <c r="AB52" i="1"/>
  <c r="AD52" i="1" s="1"/>
  <c r="AB53" i="1"/>
  <c r="AD53" i="1" s="1"/>
  <c r="W56" i="1"/>
  <c r="W71" i="1"/>
  <c r="Z2" i="1"/>
  <c r="W16" i="1"/>
  <c r="W17" i="1"/>
  <c r="W19" i="1"/>
  <c r="AF27" i="1"/>
  <c r="AH27" i="1" s="1"/>
  <c r="W5" i="1"/>
  <c r="Z15" i="1"/>
  <c r="AG20" i="1"/>
  <c r="Z27" i="1"/>
  <c r="W39" i="1"/>
  <c r="AA59" i="1"/>
  <c r="AB59" i="1" s="1"/>
  <c r="AD59" i="1" s="1"/>
  <c r="AA8" i="1"/>
  <c r="AF31" i="1"/>
  <c r="AH31" i="1" s="1"/>
  <c r="Z38" i="1"/>
  <c r="AA11" i="1"/>
  <c r="AC11" i="1" s="1"/>
  <c r="W20" i="1"/>
  <c r="AA37" i="1"/>
  <c r="AB37" i="1" s="1"/>
  <c r="AD37" i="1" s="1"/>
  <c r="AA55" i="1"/>
  <c r="AC55" i="1" s="1"/>
  <c r="AB6" i="1"/>
  <c r="AD6" i="1" s="1"/>
  <c r="AC6" i="1"/>
  <c r="AC19" i="1"/>
  <c r="AB19" i="1"/>
  <c r="AD19" i="1" s="1"/>
  <c r="AC15" i="1"/>
  <c r="AB15" i="1"/>
  <c r="AD15" i="1" s="1"/>
  <c r="AC4" i="1"/>
  <c r="AB4" i="1"/>
  <c r="AD4" i="1" s="1"/>
  <c r="AC2" i="1"/>
  <c r="AB2" i="1"/>
  <c r="AD2" i="1" s="1"/>
  <c r="AB14" i="1"/>
  <c r="AD14" i="1" s="1"/>
  <c r="AC14" i="1"/>
  <c r="Z7" i="1"/>
  <c r="W18" i="1"/>
  <c r="AA18" i="1"/>
  <c r="W22" i="1"/>
  <c r="AA22" i="1"/>
  <c r="AB60" i="1"/>
  <c r="AD60" i="1" s="1"/>
  <c r="AC60" i="1"/>
  <c r="AB36" i="1"/>
  <c r="AD36" i="1" s="1"/>
  <c r="AC36" i="1"/>
  <c r="AA50" i="1"/>
  <c r="W50" i="1"/>
  <c r="AF2" i="1"/>
  <c r="AH2" i="1" s="1"/>
  <c r="AB7" i="1"/>
  <c r="AD7" i="1" s="1"/>
  <c r="AA9" i="1"/>
  <c r="W14" i="1"/>
  <c r="AA21" i="1"/>
  <c r="AB23" i="1"/>
  <c r="AD23" i="1" s="1"/>
  <c r="AB28" i="1"/>
  <c r="AD28" i="1" s="1"/>
  <c r="W31" i="1"/>
  <c r="AA31" i="1"/>
  <c r="AB56" i="1"/>
  <c r="AD56" i="1" s="1"/>
  <c r="AC56" i="1"/>
  <c r="W44" i="1"/>
  <c r="AA44" i="1"/>
  <c r="Z17" i="1"/>
  <c r="Z22" i="1"/>
  <c r="W28" i="1"/>
  <c r="Z29" i="1"/>
  <c r="AG35" i="1"/>
  <c r="AF35" i="1"/>
  <c r="AH35" i="1" s="1"/>
  <c r="AC39" i="1"/>
  <c r="AB39" i="1"/>
  <c r="AD39" i="1" s="1"/>
  <c r="W43" i="1"/>
  <c r="AA43" i="1"/>
  <c r="W49" i="1"/>
  <c r="AA49" i="1"/>
  <c r="AF21" i="1"/>
  <c r="AH21" i="1" s="1"/>
  <c r="AG21" i="1"/>
  <c r="W30" i="1"/>
  <c r="AA30" i="1"/>
  <c r="AC45" i="1"/>
  <c r="AB45" i="1"/>
  <c r="AD45" i="1" s="1"/>
  <c r="AC67" i="1"/>
  <c r="AB67" i="1"/>
  <c r="AD67" i="1" s="1"/>
  <c r="AB3" i="1"/>
  <c r="AD3" i="1" s="1"/>
  <c r="AC13" i="1"/>
  <c r="Z19" i="1"/>
  <c r="Z40" i="1"/>
  <c r="W42" i="1"/>
  <c r="AA42" i="1"/>
  <c r="W48" i="1"/>
  <c r="AA48" i="1"/>
  <c r="AB58" i="1"/>
  <c r="AD58" i="1" s="1"/>
  <c r="AC58" i="1"/>
  <c r="AF67" i="1"/>
  <c r="AH67" i="1" s="1"/>
  <c r="AG67" i="1"/>
  <c r="AC74" i="1"/>
  <c r="Z20" i="1"/>
  <c r="AC46" i="1"/>
  <c r="AB46" i="1"/>
  <c r="AD46" i="1" s="1"/>
  <c r="AC63" i="1"/>
  <c r="AB63" i="1"/>
  <c r="AD63" i="1" s="1"/>
  <c r="W64" i="1"/>
  <c r="AA64" i="1"/>
  <c r="AB65" i="1"/>
  <c r="AD65" i="1" s="1"/>
  <c r="AC65" i="1"/>
  <c r="AA68" i="1"/>
  <c r="W68" i="1"/>
  <c r="AC72" i="1"/>
  <c r="AB72" i="1"/>
  <c r="AD72" i="1" s="1"/>
  <c r="W41" i="1"/>
  <c r="AA41" i="1"/>
  <c r="W47" i="1"/>
  <c r="AA47" i="1"/>
  <c r="AC71" i="1"/>
  <c r="AB71" i="1"/>
  <c r="AD71" i="1" s="1"/>
  <c r="W24" i="1"/>
  <c r="Z28" i="1"/>
  <c r="Z31" i="1"/>
  <c r="W33" i="1"/>
  <c r="Z44" i="1"/>
  <c r="W52" i="1"/>
  <c r="AA66" i="1"/>
  <c r="AA29" i="1"/>
  <c r="Z35" i="1"/>
  <c r="AC35" i="1" l="1"/>
  <c r="AC61" i="1"/>
  <c r="AB54" i="1"/>
  <c r="AD54" i="1" s="1"/>
  <c r="AB73" i="1"/>
  <c r="AD73" i="1" s="1"/>
  <c r="AB10" i="1"/>
  <c r="AD10" i="1" s="1"/>
  <c r="AC62" i="1"/>
  <c r="AC27" i="1"/>
  <c r="AC37" i="1"/>
  <c r="AB69" i="1"/>
  <c r="AD69" i="1" s="1"/>
  <c r="AB57" i="1"/>
  <c r="AD57" i="1" s="1"/>
  <c r="AB11" i="1"/>
  <c r="AD11" i="1" s="1"/>
  <c r="AC59" i="1"/>
  <c r="AC70" i="1"/>
  <c r="AB70" i="1"/>
  <c r="AD70" i="1" s="1"/>
  <c r="AB26" i="1"/>
  <c r="AD26" i="1" s="1"/>
  <c r="AB12" i="1"/>
  <c r="AD12" i="1" s="1"/>
  <c r="AC25" i="1"/>
  <c r="AB25" i="1"/>
  <c r="AD25" i="1" s="1"/>
  <c r="AC34" i="1"/>
  <c r="AB34" i="1"/>
  <c r="AD34" i="1" s="1"/>
  <c r="AB8" i="1"/>
  <c r="AD8" i="1" s="1"/>
  <c r="AC8" i="1"/>
  <c r="AB55" i="1"/>
  <c r="AD55" i="1" s="1"/>
  <c r="AC50" i="1"/>
  <c r="AB50" i="1"/>
  <c r="AD50" i="1" s="1"/>
  <c r="AC64" i="1"/>
  <c r="AB64" i="1"/>
  <c r="AD64" i="1" s="1"/>
  <c r="AC9" i="1"/>
  <c r="AB9" i="1"/>
  <c r="AD9" i="1" s="1"/>
  <c r="AB49" i="1"/>
  <c r="AD49" i="1" s="1"/>
  <c r="AC49" i="1"/>
  <c r="AB43" i="1"/>
  <c r="AD43" i="1" s="1"/>
  <c r="AC43" i="1"/>
  <c r="AB47" i="1"/>
  <c r="AD47" i="1" s="1"/>
  <c r="AC47" i="1"/>
  <c r="AB48" i="1"/>
  <c r="AD48" i="1" s="1"/>
  <c r="AC48" i="1"/>
  <c r="AB21" i="1"/>
  <c r="AD21" i="1" s="1"/>
  <c r="AC21" i="1"/>
  <c r="AC22" i="1"/>
  <c r="AB22" i="1"/>
  <c r="AD22" i="1" s="1"/>
  <c r="AC44" i="1"/>
  <c r="AB44" i="1"/>
  <c r="AD44" i="1" s="1"/>
  <c r="AB29" i="1"/>
  <c r="AD29" i="1" s="1"/>
  <c r="AC29" i="1"/>
  <c r="AC66" i="1"/>
  <c r="AB66" i="1"/>
  <c r="AD66" i="1" s="1"/>
  <c r="AB41" i="1"/>
  <c r="AD41" i="1" s="1"/>
  <c r="AC41" i="1"/>
  <c r="AB42" i="1"/>
  <c r="AD42" i="1" s="1"/>
  <c r="AC42" i="1"/>
  <c r="AC31" i="1"/>
  <c r="AB31" i="1"/>
  <c r="AD31" i="1" s="1"/>
  <c r="AB30" i="1"/>
  <c r="AD30" i="1" s="1"/>
  <c r="AC30" i="1"/>
  <c r="AC68" i="1"/>
  <c r="AB68" i="1"/>
  <c r="AD68" i="1" s="1"/>
  <c r="AC18" i="1"/>
  <c r="AB18" i="1"/>
  <c r="AD18" i="1" s="1"/>
</calcChain>
</file>

<file path=xl/sharedStrings.xml><?xml version="1.0" encoding="utf-8"?>
<sst xmlns="http://schemas.openxmlformats.org/spreadsheetml/2006/main" count="630" uniqueCount="175">
  <si>
    <t>Specimen</t>
  </si>
  <si>
    <t>Latitude</t>
  </si>
  <si>
    <t>Longitude</t>
  </si>
  <si>
    <t>Depth (m)</t>
  </si>
  <si>
    <t>Suborder</t>
  </si>
  <si>
    <t>Valve</t>
  </si>
  <si>
    <t>Shell_area</t>
  </si>
  <si>
    <t>Shell_layer</t>
  </si>
  <si>
    <t>MAT (°C)</t>
  </si>
  <si>
    <t>T-var (°C)</t>
  </si>
  <si>
    <t>Salinity</t>
  </si>
  <si>
    <t>S-Var</t>
  </si>
  <si>
    <t>Region</t>
  </si>
  <si>
    <t>D18O2</t>
  </si>
  <si>
    <t>D18OCI2</t>
  </si>
  <si>
    <r>
      <t>D47 (</t>
    </r>
    <r>
      <rPr>
        <sz val="11"/>
        <rFont val="Calibri"/>
        <family val="2"/>
      </rPr>
      <t>‰</t>
    </r>
    <r>
      <rPr>
        <sz val="9.35"/>
        <rFont val="Calibri"/>
        <family val="2"/>
      </rPr>
      <t>ICDES)</t>
    </r>
  </si>
  <si>
    <t>D47_CI</t>
  </si>
  <si>
    <t>T_47</t>
  </si>
  <si>
    <t>d18Oc eq</t>
  </si>
  <si>
    <t>d18Oc eq SD</t>
  </si>
  <si>
    <t>d18O eq offset</t>
  </si>
  <si>
    <t>d18O eq offset SD</t>
  </si>
  <si>
    <t>D47 eq</t>
  </si>
  <si>
    <t>D47 eq SD</t>
  </si>
  <si>
    <t>D47 offset eq</t>
  </si>
  <si>
    <t>D47 offset eqSD</t>
  </si>
  <si>
    <t>iso_lab</t>
  </si>
  <si>
    <t>MgCa (mmol/mol)</t>
  </si>
  <si>
    <t>SrCa (mmol/mol)</t>
  </si>
  <si>
    <t>LiCa (µmol/mol)</t>
  </si>
  <si>
    <t>NaCa (mmol/mol)</t>
  </si>
  <si>
    <t>TPLI-2</t>
  </si>
  <si>
    <t>Terebratulidina</t>
  </si>
  <si>
    <t>Pedical</t>
  </si>
  <si>
    <t>Middle</t>
  </si>
  <si>
    <t>Tropical Atlantic</t>
  </si>
  <si>
    <t>LSCE</t>
  </si>
  <si>
    <t>TPLI-5</t>
  </si>
  <si>
    <t>Brachial</t>
  </si>
  <si>
    <t>LGLTPE</t>
  </si>
  <si>
    <t>TDES-G1</t>
  </si>
  <si>
    <t>TDES-G3</t>
  </si>
  <si>
    <t>TDES-B2</t>
  </si>
  <si>
    <t>TDES-B4</t>
  </si>
  <si>
    <t>SGLO-S1</t>
  </si>
  <si>
    <t>Tropical Pacific</t>
  </si>
  <si>
    <t>TCUB-3</t>
  </si>
  <si>
    <t>SGLO-M1</t>
  </si>
  <si>
    <t>SGLO-M2</t>
  </si>
  <si>
    <t>TGAL-4</t>
  </si>
  <si>
    <t>WB9A</t>
  </si>
  <si>
    <t>Terebratellidina</t>
  </si>
  <si>
    <t>South Pacific</t>
  </si>
  <si>
    <t>WB5</t>
  </si>
  <si>
    <t>WB6</t>
  </si>
  <si>
    <t>WB8</t>
  </si>
  <si>
    <t>Rhynchonellida</t>
  </si>
  <si>
    <t>SCRO-1</t>
  </si>
  <si>
    <t>SCRO-3</t>
  </si>
  <si>
    <t>MCRA-SKA</t>
  </si>
  <si>
    <t>North Atlantic</t>
  </si>
  <si>
    <t>AKER-79</t>
  </si>
  <si>
    <t>Southern Ocean</t>
  </si>
  <si>
    <t>AKER-61</t>
  </si>
  <si>
    <t>WB4A</t>
  </si>
  <si>
    <t>WB4B</t>
  </si>
  <si>
    <t>AKER-73</t>
  </si>
  <si>
    <t>AKER-68</t>
  </si>
  <si>
    <t>AKER-12</t>
  </si>
  <si>
    <t>AKER-66</t>
  </si>
  <si>
    <t>AKER-52</t>
  </si>
  <si>
    <t>LUVA-PAL</t>
  </si>
  <si>
    <t>MFRA-CEA</t>
  </si>
  <si>
    <t>AABW</t>
  </si>
  <si>
    <t>FSAN-3</t>
  </si>
  <si>
    <t>Anterior</t>
  </si>
  <si>
    <t>Bulk</t>
  </si>
  <si>
    <t>TLAT-5</t>
  </si>
  <si>
    <t>TCUB-2</t>
  </si>
  <si>
    <t>TGAL-3</t>
  </si>
  <si>
    <t>FNEO-N4</t>
  </si>
  <si>
    <t>FNEO-M2</t>
  </si>
  <si>
    <t>MAF-5</t>
  </si>
  <si>
    <t>NADW</t>
  </si>
  <si>
    <t>WB1A</t>
  </si>
  <si>
    <t>T_47_CI</t>
  </si>
  <si>
    <t>Columns</t>
  </si>
  <si>
    <t>Description</t>
  </si>
  <si>
    <t>A</t>
  </si>
  <si>
    <t>Specimen ID</t>
  </si>
  <si>
    <t>F</t>
  </si>
  <si>
    <t>Taxonomic group: Suborder</t>
  </si>
  <si>
    <t>Inner</t>
  </si>
  <si>
    <t>Outer</t>
  </si>
  <si>
    <t>B</t>
  </si>
  <si>
    <t>C</t>
  </si>
  <si>
    <t>D</t>
  </si>
  <si>
    <t>E</t>
  </si>
  <si>
    <t>Valve sampled for geochemical analyses</t>
  </si>
  <si>
    <t>G</t>
  </si>
  <si>
    <t>Part of the shell sampled for geochemical analyses (antero-posterior position)</t>
  </si>
  <si>
    <t>H</t>
  </si>
  <si>
    <t>Sampled shell layer for geochemical analyses</t>
  </si>
  <si>
    <t>I</t>
  </si>
  <si>
    <t>Latitude of the specimen collecting site</t>
  </si>
  <si>
    <t>Longitude of the specimen collecting site</t>
  </si>
  <si>
    <t>Depth of the specimen collecting site</t>
  </si>
  <si>
    <t>Mean annual temperature at collecting site</t>
  </si>
  <si>
    <t>J</t>
  </si>
  <si>
    <t>K</t>
  </si>
  <si>
    <t>Mean annual salinity at collecting site</t>
  </si>
  <si>
    <t>L</t>
  </si>
  <si>
    <t>M</t>
  </si>
  <si>
    <t>N</t>
  </si>
  <si>
    <t>O</t>
  </si>
  <si>
    <t>Oceanographic region considered to estimate d18Osw values</t>
  </si>
  <si>
    <t>P</t>
  </si>
  <si>
    <t>d13C (‰VPDB)</t>
  </si>
  <si>
    <t>d13C_CI (‰VPDB)</t>
  </si>
  <si>
    <r>
      <rPr>
        <sz val="11"/>
        <rFont val="Calibri"/>
        <family val="2"/>
      </rPr>
      <t>d</t>
    </r>
    <r>
      <rPr>
        <sz val="11"/>
        <rFont val="Calibri"/>
        <family val="2"/>
        <scheme val="minor"/>
      </rPr>
      <t>18O (‰VPDB)</t>
    </r>
  </si>
  <si>
    <t>d18O_CI (‰VPDB)</t>
  </si>
  <si>
    <t>Q</t>
  </si>
  <si>
    <t>R</t>
  </si>
  <si>
    <t>S</t>
  </si>
  <si>
    <t>T</t>
  </si>
  <si>
    <t>U</t>
  </si>
  <si>
    <t>Brachiopod shell sample d13C value in ‰VPDB</t>
  </si>
  <si>
    <t>Brachiopod shell sample d18O value in ‰VPDB</t>
  </si>
  <si>
    <t>Analytic 95% confidence interval on the brachiopod shell sample d18O value in ‰VPDB</t>
  </si>
  <si>
    <t>Analytic 95% confidence interval on the brachiopod shell sample d13C value in ‰VPDB</t>
  </si>
  <si>
    <t>Brachiopod shell sample D47 value in ‰I-CDES</t>
  </si>
  <si>
    <t>Analytic 95% confidence interval on the brachiopod shell sample D47 value in ‰I-CDES</t>
  </si>
  <si>
    <t>V</t>
  </si>
  <si>
    <t>Laboratory where the isotopic values were acquired</t>
  </si>
  <si>
    <t>d18Osw_L.S (‰VSMOW)</t>
  </si>
  <si>
    <t>d18Osw_L.S_E (‰VSMOW)</t>
  </si>
  <si>
    <t>Uncertainty associated with estimated d18Osw values (‰VSMOW)</t>
  </si>
  <si>
    <t>Estimated d18Osw values in (‰VSMOW) using the regional salinity-d18Osw relationship according to LeGrande et Schmidt (2006)</t>
  </si>
  <si>
    <t>W</t>
  </si>
  <si>
    <t>Oxygen isotope fractionation between seawater and brachiopod shell sample (W = Q - M + 0.28)  in ‰</t>
  </si>
  <si>
    <t>X</t>
  </si>
  <si>
    <t>Propagated error associated with the oxygen isotope fractionation between seawater and brachiopod shell sample (X = S + N)</t>
  </si>
  <si>
    <t>Y</t>
  </si>
  <si>
    <t>D47 temperature calculated using the equation of Anderson et al. (2021)</t>
  </si>
  <si>
    <t>Z</t>
  </si>
  <si>
    <t>95% confidence interval on D47 temperature calculated using the equation of Anderson et al. (2021)</t>
  </si>
  <si>
    <t>Salinity seasonal variability at the collecting site. Mean difference between the highest/lowest mean monthly salinity and the mean annual salinity. For samples with significant depth range, salinity variation within the depth range is also considered.</t>
  </si>
  <si>
    <t>Temperature seasonal variability at the collecting site. Mean difference between the highest/lowest mean monthly temperature and the mean annual temperature. For samples with significant depth range, temperature variation within depth range is also considered.</t>
  </si>
  <si>
    <t>AA</t>
  </si>
  <si>
    <t>AB</t>
  </si>
  <si>
    <t>AC</t>
  </si>
  <si>
    <t>Brachiopod shell sample d18Oc offset from equilibrium in ‰VPDB (AC = R - AA)</t>
  </si>
  <si>
    <t>AD</t>
  </si>
  <si>
    <t>Propagated uncertainties for brachiopod shell sample d18Oc offset from equilibrium in ‰VPDB (AD = S + AB)</t>
  </si>
  <si>
    <t>AE</t>
  </si>
  <si>
    <t>Propagated uncertainties for expected equilibrium d18Oc value in ‰VPDB by resolving Daëron et al. (2019) equation for very slow growing calcite using environmental parameters (Sampling site temperatures and d18Osw values, and their respective uncertainties)</t>
  </si>
  <si>
    <t>Expected equilibrium d18Oc value in ‰VPDB by resolving Daëron et al. (2019) equation for very slow growing calcite using environmental parameters (Sampling site temperatures and d18Osw values)</t>
  </si>
  <si>
    <t>AF</t>
  </si>
  <si>
    <t>Expected equilibrium D47 value in ‰I-CDES by resolving Anderson et al. (2021) equation, which closely fit very slow growing calcite, using environmental parameters (Sampling site temperatures)</t>
  </si>
  <si>
    <t>Propagated uncertainties for expected equilibrium D47 value in ‰I-CDES by resolving Anderson et al. (2021) equation, which closely fit very slow growing calcite, using environmental parameters (Sampling site temperatures and its uncertainty)</t>
  </si>
  <si>
    <t>AG</t>
  </si>
  <si>
    <t>AH</t>
  </si>
  <si>
    <t>Brachiopod shell sample D47 offset from equilibrium in ‰VPDB (AG = T - AE)</t>
  </si>
  <si>
    <t>Propagated uncertainties for brachiopod shell sample D47 offset from equilibrium in ‰VPDB (AH = U + AF)</t>
  </si>
  <si>
    <t>AI</t>
  </si>
  <si>
    <t>AJ</t>
  </si>
  <si>
    <t>AK</t>
  </si>
  <si>
    <t>AL</t>
  </si>
  <si>
    <t>Mg/Ca molar ratio of the brachiopod shell sample in mmol/mol</t>
  </si>
  <si>
    <t>Sr/Ca molar ratio of the brachiopod shell sample in mmol/mol</t>
  </si>
  <si>
    <t>Li/Ca molar ratio of the brachiopod shell sample in µmol/mol</t>
  </si>
  <si>
    <t>Na/Ca molar ratio of the brachiopod shell sample in mmol/mol</t>
  </si>
  <si>
    <t>References</t>
  </si>
  <si>
    <t>Daëron, M., Drysdale, R. N., Peral, M., Huyghe, D., Blamart, D., Coplen, T. B., Lartaud, F., and Zanchetta, G.: Most Earth-surface calcites precipitate out of isotopic equilibrium, Nat. Commun., 10, 429, https://doi.org/10.1038/s41467-019-08336-5, 2019.</t>
  </si>
  <si>
    <t>Anderson, N. T., Kelson, J. R., Kele, S., Daëron, M., Bonifacie, M., Horita, J., Mackey, T. J., John, C. M., Kluge, T., Petschnig, P., Jost, A. B., Huntington, K. W., Bernasconi, S. M., and Bergmann, K. D.: A Unified Clumped Isotope Thermometer Calibration (0.5–1,100°C) Using Carbonate‐Based Standardization, Geophys. Res. Lett., 48, https://doi.org/10.1029/2020GL092069,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</si>
</sst>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
    <numFmt numFmtId="166" formatCode="0.000"/>
  </numFmts>
  <fonts count="5" x14ac:knownFonts="1">
    <font>
      <sz val="11"/>
      <color theme="1"/>
      <name val="Calibri"/>
      <family val="2"/>
      <scheme val="minor"/>
    </font>
    <font>
      <sz val="11"/>
      <name val="Calibri"/>
      <family val="2"/>
      <scheme val="minor"/>
    </font>
    <font>
      <sz val="11"/>
      <name val="Calibri"/>
      <family val="2"/>
    </font>
    <font>
      <sz val="9.35"/>
      <name val="Calibri"/>
      <family val="2"/>
    </font>
    <font>
      <sz val="10"/>
      <color theme="1"/>
      <name val="Calibri"/>
      <family val="2"/>
      <scheme val="minor"/>
    </font>
  </fonts>
  <fills count="2">
    <fill>
      <patternFill patternType="none"/>
    </fill>
    <fill>
      <patternFill patternType="gray125"/>
    </fill>
  </fills>
  <borders count="3">
    <border>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1">
    <xf numFmtId="0" fontId="0" fillId="0" borderId="0"/>
  </cellStyleXfs>
  <cellXfs count="19">
    <xf numFmtId="0" fontId="0" fillId="0" borderId="0" xfId="0"/>
    <xf numFmtId="0" fontId="1" fillId="0" borderId="0" xfId="0" applyFont="1" applyFill="1" applyAlignment="1">
      <alignment horizontal="center" vertical="center"/>
    </xf>
    <xf numFmtId="2" fontId="1" fillId="0" borderId="0" xfId="0" applyNumberFormat="1" applyFont="1" applyFill="1" applyAlignment="1">
      <alignment horizontal="center" vertical="center"/>
    </xf>
    <xf numFmtId="0" fontId="1" fillId="0" borderId="0" xfId="0" applyFont="1" applyFill="1" applyAlignment="1">
      <alignment horizontal="center" vertical="center" wrapText="1"/>
    </xf>
    <xf numFmtId="2" fontId="1" fillId="0" borderId="0" xfId="0" applyNumberFormat="1" applyFont="1" applyFill="1" applyAlignment="1">
      <alignment horizontal="center" vertical="center" wrapText="1"/>
    </xf>
    <xf numFmtId="1" fontId="1" fillId="0" borderId="0" xfId="0" applyNumberFormat="1" applyFont="1" applyFill="1" applyAlignment="1">
      <alignment horizontal="center" vertical="center" wrapText="1"/>
    </xf>
    <xf numFmtId="2"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164" fontId="1" fillId="0" borderId="0" xfId="0" applyNumberFormat="1" applyFont="1" applyFill="1" applyAlignment="1">
      <alignment horizontal="center" vertical="center"/>
    </xf>
    <xf numFmtId="165" fontId="1" fillId="0" borderId="0" xfId="0" applyNumberFormat="1" applyFont="1" applyFill="1" applyAlignment="1">
      <alignment horizontal="center" vertical="center"/>
    </xf>
    <xf numFmtId="2" fontId="1" fillId="0" borderId="1" xfId="0" applyNumberFormat="1" applyFont="1" applyFill="1" applyBorder="1" applyAlignment="1">
      <alignment horizontal="center" vertical="center"/>
    </xf>
    <xf numFmtId="2" fontId="1" fillId="0" borderId="2" xfId="0" applyNumberFormat="1" applyFont="1" applyFill="1" applyBorder="1" applyAlignment="1">
      <alignment horizontal="center" vertical="center"/>
    </xf>
    <xf numFmtId="1" fontId="1" fillId="0" borderId="0" xfId="0" applyNumberFormat="1" applyFont="1" applyFill="1" applyAlignment="1">
      <alignment horizontal="center" vertical="center"/>
    </xf>
    <xf numFmtId="165" fontId="1" fillId="0" borderId="0" xfId="0" applyNumberFormat="1" applyFont="1" applyFill="1" applyAlignment="1">
      <alignment horizontal="center" vertical="center" wrapText="1"/>
    </xf>
    <xf numFmtId="0" fontId="1" fillId="0" borderId="0" xfId="0" applyNumberFormat="1" applyFont="1" applyFill="1" applyAlignment="1">
      <alignment horizontal="center" vertical="center"/>
    </xf>
    <xf numFmtId="0" fontId="0" fillId="0" borderId="0" xfId="0" applyFont="1"/>
    <xf numFmtId="166" fontId="1" fillId="0" borderId="0" xfId="0" applyNumberFormat="1" applyFont="1" applyFill="1" applyAlignment="1">
      <alignment horizontal="center" vertical="center"/>
    </xf>
    <xf numFmtId="0" fontId="4" fillId="0" borderId="0" xfId="0" applyFont="1"/>
    <xf numFmtId="0" fontId="4" fillId="0" borderId="0" xfId="0" applyFont="1" applyAlignment="1">
      <alignment vertical="center"/>
    </xf>
  </cellXfs>
  <cellStyles count="1">
    <cellStyle name="Normal" xfId="0" builtinId="0"/>
  </cellStyles>
  <dxfs count="37">
    <dxf>
      <font>
        <b val="0"/>
        <i val="0"/>
        <strike val="0"/>
        <condense val="0"/>
        <extend val="0"/>
        <outline val="0"/>
        <shadow val="0"/>
        <u val="none"/>
        <vertAlign val="baseline"/>
        <sz val="11"/>
        <color auto="1"/>
        <name val="Calibri"/>
        <scheme val="minor"/>
      </font>
      <numFmt numFmtId="166" formatCode="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6" formatCode="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6" formatCode="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6" formatCode="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0.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0.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0.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0.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0.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0.0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au4" displayName="Tableau4" ref="A1:AL74" totalsRowShown="0" headerRowDxfId="36" dataDxfId="35">
  <autoFilter ref="A1:AL74"/>
  <sortState ref="A2:AY74">
    <sortCondition descending="1" ref="H1:H77"/>
  </sortState>
  <tableColumns count="38">
    <tableColumn id="1" name="Specimen" dataDxfId="34"/>
    <tableColumn id="2" name="Latitude"/>
    <tableColumn id="3" name="Longitude"/>
    <tableColumn id="4" name="Depth (m)"/>
    <tableColumn id="50" name="Suborder" dataDxfId="33"/>
    <tableColumn id="6" name="Valve" dataDxfId="32"/>
    <tableColumn id="7" name="Shell_area" dataDxfId="31"/>
    <tableColumn id="8" name="Shell_layer" dataDxfId="30"/>
    <tableColumn id="9" name="MAT (°C)" dataDxfId="29"/>
    <tableColumn id="10" name="T-var (°C)" dataDxfId="28"/>
    <tableColumn id="11" name="Salinity" dataDxfId="27"/>
    <tableColumn id="12" name="S-Var" dataDxfId="26"/>
    <tableColumn id="13" name="d18Osw_L.S (‰VSMOW)" dataDxfId="25"/>
    <tableColumn id="14" name="d18Osw_L.S_E (‰VSMOW)" dataDxfId="24"/>
    <tableColumn id="15" name="Region" dataDxfId="23"/>
    <tableColumn id="16" name="d13C (‰VPDB)" dataDxfId="22"/>
    <tableColumn id="17" name="d13C_CI (‰VPDB)" dataDxfId="21"/>
    <tableColumn id="18" name="d18O (‰VPDB)" dataDxfId="20"/>
    <tableColumn id="19" name="d18O_CI (‰VPDB)" dataDxfId="19"/>
    <tableColumn id="22" name="D47 (‰ICDES)" dataDxfId="18"/>
    <tableColumn id="23" name="D47_CI" dataDxfId="17"/>
    <tableColumn id="28" name="iso_lab" dataDxfId="16"/>
    <tableColumn id="20" name="D18O2" dataDxfId="15">
      <calculatedColumnFormula>R2-M2+0.28</calculatedColumnFormula>
    </tableColumn>
    <tableColumn id="21" name="D18OCI2" dataDxfId="14">
      <calculatedColumnFormula>S2+N2</calculatedColumnFormula>
    </tableColumn>
    <tableColumn id="24" name="T_47" dataDxfId="13"/>
    <tableColumn id="25" name="T_47_CI" dataDxfId="12"/>
    <tableColumn id="39" name="d18Oc eq" dataDxfId="11">
      <calculatedColumnFormula>(((EXP((17570/(273.15+Tableau4[[#This Row],[MAT (°C)]])-29.13)/1000)*(1000+Tableau4[[#This Row],[d18Osw_L.S (‰VSMOW)]]))-1000)-30.92)/1.03092</calculatedColumnFormula>
    </tableColumn>
    <tableColumn id="42" name="d18Oc eq SD" dataDxfId="10">
      <calculatedColumnFormula>Tableau4[[#This Row],[d18Oc eq]]-(((EXP((17570/(273.15+Tableau4[[#This Row],[MAT (°C)]]+Tableau4[[#This Row],[T-var (°C)]])-29.13)/1000)*(1000+Tableau4[[#This Row],[d18Osw_L.S (‰VSMOW)]]-Tableau4[[#This Row],[d18Osw_L.S_E (‰VSMOW)]]))-1000)-30.92)/1.03092</calculatedColumnFormula>
    </tableColumn>
    <tableColumn id="43" name="d18O eq offset" dataDxfId="9">
      <calculatedColumnFormula>Tableau4[[#This Row],[d18O (‰VPDB)]]-Tableau4[[#This Row],[d18Oc eq]]</calculatedColumnFormula>
    </tableColumn>
    <tableColumn id="44" name="d18O eq offset SD" dataDxfId="8">
      <calculatedColumnFormula>Tableau4[[#This Row],[d18Oc eq SD]]+Tableau4[[#This Row],[d18O_CI (‰VPDB)]]</calculatedColumnFormula>
    </tableColumn>
    <tableColumn id="45" name="D47 eq" dataDxfId="3">
      <calculatedColumnFormula>0.0391*(1000000/((273.15+Tableau4[[#This Row],[MAT (°C)]])^2))+0.154</calculatedColumnFormula>
    </tableColumn>
    <tableColumn id="46" name="D47 eq SD" dataDxfId="2">
      <calculatedColumnFormula>Tableau4[[#This Row],[D47 eq]]-(0.0391*(1000000/((273.15+Tableau4[[#This Row],[MAT (°C)]]+Tableau4[[#This Row],[T-var (°C)]])^2))+0.154)</calculatedColumnFormula>
    </tableColumn>
    <tableColumn id="47" name="D47 offset eq" dataDxfId="1">
      <calculatedColumnFormula>Tableau4[[#This Row],[D47 (‰ICDES)]]-Tableau4[[#This Row],[D47 eq]]</calculatedColumnFormula>
    </tableColumn>
    <tableColumn id="48" name="D47 offset eqSD" dataDxfId="0">
      <calculatedColumnFormula>Tableau4[[#This Row],[D47 eq SD]]+Tableau4[[#This Row],[D47_CI]]</calculatedColumnFormula>
    </tableColumn>
    <tableColumn id="29" name="MgCa (mmol/mol)" dataDxfId="7"/>
    <tableColumn id="30" name="SrCa (mmol/mol)" dataDxfId="6"/>
    <tableColumn id="31" name="LiCa (µmol/mol)" dataDxfId="5"/>
    <tableColumn id="49" name="NaCa (mmol/mol)" dataDxfId="4"/>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abSelected="1" workbookViewId="0">
      <selection activeCell="B48" sqref="B48"/>
    </sheetView>
  </sheetViews>
  <sheetFormatPr baseColWidth="10" defaultRowHeight="14.4" x14ac:dyDescent="0.3"/>
  <cols>
    <col min="2" max="2" width="190.44140625" customWidth="1"/>
  </cols>
  <sheetData>
    <row r="1" spans="1:2" x14ac:dyDescent="0.3">
      <c r="A1" t="s">
        <v>86</v>
      </c>
      <c r="B1" t="s">
        <v>87</v>
      </c>
    </row>
    <row r="2" spans="1:2" x14ac:dyDescent="0.3">
      <c r="A2" t="s">
        <v>88</v>
      </c>
      <c r="B2" t="s">
        <v>89</v>
      </c>
    </row>
    <row r="3" spans="1:2" x14ac:dyDescent="0.3">
      <c r="A3" t="s">
        <v>94</v>
      </c>
      <c r="B3" t="s">
        <v>104</v>
      </c>
    </row>
    <row r="4" spans="1:2" x14ac:dyDescent="0.3">
      <c r="A4" t="s">
        <v>95</v>
      </c>
      <c r="B4" t="s">
        <v>105</v>
      </c>
    </row>
    <row r="5" spans="1:2" x14ac:dyDescent="0.3">
      <c r="A5" t="s">
        <v>96</v>
      </c>
      <c r="B5" t="s">
        <v>106</v>
      </c>
    </row>
    <row r="6" spans="1:2" x14ac:dyDescent="0.3">
      <c r="A6" t="s">
        <v>97</v>
      </c>
      <c r="B6" t="s">
        <v>91</v>
      </c>
    </row>
    <row r="7" spans="1:2" x14ac:dyDescent="0.3">
      <c r="A7" t="s">
        <v>90</v>
      </c>
      <c r="B7" t="s">
        <v>98</v>
      </c>
    </row>
    <row r="8" spans="1:2" x14ac:dyDescent="0.3">
      <c r="A8" t="s">
        <v>99</v>
      </c>
      <c r="B8" t="s">
        <v>100</v>
      </c>
    </row>
    <row r="9" spans="1:2" x14ac:dyDescent="0.3">
      <c r="A9" t="s">
        <v>101</v>
      </c>
      <c r="B9" t="s">
        <v>102</v>
      </c>
    </row>
    <row r="10" spans="1:2" s="15" customFormat="1" x14ac:dyDescent="0.3">
      <c r="A10" s="15" t="s">
        <v>103</v>
      </c>
      <c r="B10" s="15" t="s">
        <v>107</v>
      </c>
    </row>
    <row r="11" spans="1:2" s="15" customFormat="1" x14ac:dyDescent="0.3">
      <c r="A11" s="15" t="s">
        <v>108</v>
      </c>
      <c r="B11" s="15" t="s">
        <v>147</v>
      </c>
    </row>
    <row r="12" spans="1:2" s="15" customFormat="1" x14ac:dyDescent="0.3">
      <c r="A12" s="15" t="s">
        <v>109</v>
      </c>
      <c r="B12" s="15" t="s">
        <v>110</v>
      </c>
    </row>
    <row r="13" spans="1:2" s="15" customFormat="1" x14ac:dyDescent="0.3">
      <c r="A13" s="15" t="s">
        <v>111</v>
      </c>
      <c r="B13" s="15" t="s">
        <v>146</v>
      </c>
    </row>
    <row r="14" spans="1:2" s="15" customFormat="1" x14ac:dyDescent="0.3">
      <c r="A14" s="15" t="s">
        <v>112</v>
      </c>
      <c r="B14" s="15" t="s">
        <v>137</v>
      </c>
    </row>
    <row r="15" spans="1:2" s="15" customFormat="1" x14ac:dyDescent="0.3">
      <c r="A15" s="15" t="s">
        <v>113</v>
      </c>
      <c r="B15" s="15" t="s">
        <v>136</v>
      </c>
    </row>
    <row r="16" spans="1:2" s="15" customFormat="1" x14ac:dyDescent="0.3">
      <c r="A16" s="15" t="s">
        <v>114</v>
      </c>
      <c r="B16" s="15" t="s">
        <v>115</v>
      </c>
    </row>
    <row r="17" spans="1:2" s="15" customFormat="1" x14ac:dyDescent="0.3">
      <c r="A17" s="15" t="s">
        <v>116</v>
      </c>
      <c r="B17" s="15" t="s">
        <v>126</v>
      </c>
    </row>
    <row r="18" spans="1:2" x14ac:dyDescent="0.3">
      <c r="A18" s="15" t="s">
        <v>121</v>
      </c>
      <c r="B18" s="15" t="s">
        <v>129</v>
      </c>
    </row>
    <row r="19" spans="1:2" x14ac:dyDescent="0.3">
      <c r="A19" s="15" t="s">
        <v>122</v>
      </c>
      <c r="B19" s="15" t="s">
        <v>127</v>
      </c>
    </row>
    <row r="20" spans="1:2" x14ac:dyDescent="0.3">
      <c r="A20" s="15" t="s">
        <v>123</v>
      </c>
      <c r="B20" s="15" t="s">
        <v>128</v>
      </c>
    </row>
    <row r="21" spans="1:2" x14ac:dyDescent="0.3">
      <c r="A21" s="15" t="s">
        <v>124</v>
      </c>
      <c r="B21" s="15" t="s">
        <v>130</v>
      </c>
    </row>
    <row r="22" spans="1:2" x14ac:dyDescent="0.3">
      <c r="A22" s="15" t="s">
        <v>125</v>
      </c>
      <c r="B22" s="15" t="s">
        <v>131</v>
      </c>
    </row>
    <row r="23" spans="1:2" x14ac:dyDescent="0.3">
      <c r="A23" s="15" t="s">
        <v>132</v>
      </c>
      <c r="B23" s="15" t="s">
        <v>133</v>
      </c>
    </row>
    <row r="24" spans="1:2" x14ac:dyDescent="0.3">
      <c r="A24" s="15" t="s">
        <v>138</v>
      </c>
      <c r="B24" s="15" t="s">
        <v>139</v>
      </c>
    </row>
    <row r="25" spans="1:2" x14ac:dyDescent="0.3">
      <c r="A25" s="15" t="s">
        <v>140</v>
      </c>
      <c r="B25" s="15" t="s">
        <v>141</v>
      </c>
    </row>
    <row r="26" spans="1:2" x14ac:dyDescent="0.3">
      <c r="A26" s="15" t="s">
        <v>142</v>
      </c>
      <c r="B26" s="15" t="s">
        <v>143</v>
      </c>
    </row>
    <row r="27" spans="1:2" x14ac:dyDescent="0.3">
      <c r="A27" s="15" t="s">
        <v>144</v>
      </c>
      <c r="B27" s="15" t="s">
        <v>145</v>
      </c>
    </row>
    <row r="28" spans="1:2" x14ac:dyDescent="0.3">
      <c r="A28" s="15" t="s">
        <v>148</v>
      </c>
      <c r="B28" s="15" t="s">
        <v>156</v>
      </c>
    </row>
    <row r="29" spans="1:2" x14ac:dyDescent="0.3">
      <c r="A29" s="15" t="s">
        <v>149</v>
      </c>
      <c r="B29" t="s">
        <v>155</v>
      </c>
    </row>
    <row r="30" spans="1:2" x14ac:dyDescent="0.3">
      <c r="A30" s="15" t="s">
        <v>150</v>
      </c>
      <c r="B30" t="s">
        <v>151</v>
      </c>
    </row>
    <row r="31" spans="1:2" x14ac:dyDescent="0.3">
      <c r="A31" s="15" t="s">
        <v>152</v>
      </c>
      <c r="B31" t="s">
        <v>153</v>
      </c>
    </row>
    <row r="32" spans="1:2" x14ac:dyDescent="0.3">
      <c r="A32" s="15" t="s">
        <v>154</v>
      </c>
      <c r="B32" t="s">
        <v>158</v>
      </c>
    </row>
    <row r="33" spans="1:2" x14ac:dyDescent="0.3">
      <c r="A33" s="15" t="s">
        <v>157</v>
      </c>
      <c r="B33" t="s">
        <v>159</v>
      </c>
    </row>
    <row r="34" spans="1:2" x14ac:dyDescent="0.3">
      <c r="A34" s="15" t="s">
        <v>160</v>
      </c>
      <c r="B34" t="s">
        <v>162</v>
      </c>
    </row>
    <row r="35" spans="1:2" x14ac:dyDescent="0.3">
      <c r="A35" s="15" t="s">
        <v>161</v>
      </c>
      <c r="B35" t="s">
        <v>163</v>
      </c>
    </row>
    <row r="36" spans="1:2" x14ac:dyDescent="0.3">
      <c r="A36" s="15" t="s">
        <v>164</v>
      </c>
      <c r="B36" t="s">
        <v>168</v>
      </c>
    </row>
    <row r="37" spans="1:2" x14ac:dyDescent="0.3">
      <c r="A37" s="15" t="s">
        <v>165</v>
      </c>
      <c r="B37" t="s">
        <v>169</v>
      </c>
    </row>
    <row r="38" spans="1:2" x14ac:dyDescent="0.3">
      <c r="A38" t="s">
        <v>166</v>
      </c>
      <c r="B38" t="s">
        <v>170</v>
      </c>
    </row>
    <row r="39" spans="1:2" x14ac:dyDescent="0.3">
      <c r="A39" t="s">
        <v>167</v>
      </c>
      <c r="B39" t="s">
        <v>171</v>
      </c>
    </row>
    <row r="45" spans="1:2" x14ac:dyDescent="0.3">
      <c r="A45" t="s">
        <v>172</v>
      </c>
      <c r="B45" s="17" t="s">
        <v>173</v>
      </c>
    </row>
    <row r="46" spans="1:2" x14ac:dyDescent="0.3">
      <c r="B46" s="18" t="s">
        <v>174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4"/>
  <sheetViews>
    <sheetView topLeftCell="Q1" workbookViewId="0">
      <selection activeCell="AK1" sqref="AK1"/>
    </sheetView>
  </sheetViews>
  <sheetFormatPr baseColWidth="10" defaultColWidth="8.88671875" defaultRowHeight="14.4" x14ac:dyDescent="0.3"/>
  <cols>
    <col min="38" max="38" width="9.21875" customWidth="1"/>
  </cols>
  <sheetData>
    <row r="1" spans="1:38" x14ac:dyDescent="0.3">
      <c r="A1" s="1" t="s">
        <v>0</v>
      </c>
      <c r="B1" s="1" t="s">
        <v>1</v>
      </c>
      <c r="C1" s="1" t="s">
        <v>2</v>
      </c>
      <c r="D1" s="1" t="s">
        <v>3</v>
      </c>
      <c r="E1" s="1" t="s">
        <v>4</v>
      </c>
      <c r="F1" s="1" t="s">
        <v>5</v>
      </c>
      <c r="G1" s="1" t="s">
        <v>6</v>
      </c>
      <c r="H1" s="1" t="s">
        <v>7</v>
      </c>
      <c r="I1" s="1" t="s">
        <v>8</v>
      </c>
      <c r="J1" s="1" t="s">
        <v>9</v>
      </c>
      <c r="K1" s="1" t="s">
        <v>10</v>
      </c>
      <c r="L1" s="1" t="s">
        <v>11</v>
      </c>
      <c r="M1" s="1" t="s">
        <v>134</v>
      </c>
      <c r="N1" s="1" t="s">
        <v>135</v>
      </c>
      <c r="O1" s="1" t="s">
        <v>12</v>
      </c>
      <c r="P1" s="1" t="s">
        <v>117</v>
      </c>
      <c r="Q1" s="1" t="s">
        <v>118</v>
      </c>
      <c r="R1" s="1" t="s">
        <v>119</v>
      </c>
      <c r="S1" s="1" t="s">
        <v>120</v>
      </c>
      <c r="T1" s="1" t="s">
        <v>15</v>
      </c>
      <c r="U1" s="1" t="s">
        <v>16</v>
      </c>
      <c r="V1" s="1" t="s">
        <v>26</v>
      </c>
      <c r="W1" s="1" t="s">
        <v>13</v>
      </c>
      <c r="X1" s="1" t="s">
        <v>14</v>
      </c>
      <c r="Y1" s="1" t="s">
        <v>17</v>
      </c>
      <c r="Z1" s="1" t="s">
        <v>85</v>
      </c>
      <c r="AA1" s="1" t="s">
        <v>18</v>
      </c>
      <c r="AB1" s="1" t="s">
        <v>19</v>
      </c>
      <c r="AC1" s="1" t="s">
        <v>20</v>
      </c>
      <c r="AD1" s="1" t="s">
        <v>21</v>
      </c>
      <c r="AE1" s="1" t="s">
        <v>22</v>
      </c>
      <c r="AF1" s="1" t="s">
        <v>23</v>
      </c>
      <c r="AG1" s="1" t="s">
        <v>24</v>
      </c>
      <c r="AH1" s="1" t="s">
        <v>25</v>
      </c>
      <c r="AI1" s="1" t="s">
        <v>27</v>
      </c>
      <c r="AJ1" s="1" t="s">
        <v>28</v>
      </c>
      <c r="AK1" s="1" t="s">
        <v>29</v>
      </c>
      <c r="AL1" s="1" t="s">
        <v>30</v>
      </c>
    </row>
    <row r="2" spans="1:38" x14ac:dyDescent="0.3">
      <c r="A2" s="3" t="s">
        <v>31</v>
      </c>
      <c r="B2" s="4">
        <v>16.350000000000001</v>
      </c>
      <c r="C2" s="4">
        <v>-60.9</v>
      </c>
      <c r="D2" s="5">
        <f t="shared" ref="D2:D9" si="0">(111+162)/2</f>
        <v>136.5</v>
      </c>
      <c r="E2" s="1" t="s">
        <v>32</v>
      </c>
      <c r="F2" s="1" t="s">
        <v>33</v>
      </c>
      <c r="G2" s="1" t="s">
        <v>34</v>
      </c>
      <c r="H2" s="1" t="s">
        <v>92</v>
      </c>
      <c r="I2" s="1">
        <v>23.5</v>
      </c>
      <c r="J2" s="1">
        <v>3</v>
      </c>
      <c r="K2" s="1">
        <v>36.869999999999997</v>
      </c>
      <c r="L2" s="1">
        <v>0.12</v>
      </c>
      <c r="M2" s="4">
        <f t="shared" ref="M2:M9" si="1">K2*0.15-4.61</f>
        <v>0.92049999999999876</v>
      </c>
      <c r="N2" s="2">
        <v>0.13100000000000001</v>
      </c>
      <c r="O2" s="1" t="s">
        <v>35</v>
      </c>
      <c r="P2" s="6">
        <v>2.75</v>
      </c>
      <c r="Q2" s="7">
        <v>0.01</v>
      </c>
      <c r="R2" s="6">
        <v>0.14000000000000001</v>
      </c>
      <c r="S2" s="1">
        <v>0.01</v>
      </c>
      <c r="T2" s="8">
        <v>0.59740000000000004</v>
      </c>
      <c r="U2" s="8">
        <v>9.4000000000000004E-3</v>
      </c>
      <c r="V2" s="1" t="s">
        <v>36</v>
      </c>
      <c r="W2" s="2">
        <f t="shared" ref="W2:W33" si="2">R2-M2+0.28</f>
        <v>-0.50049999999999872</v>
      </c>
      <c r="X2" s="2">
        <f t="shared" ref="X2:X33" si="3">S2+N2</f>
        <v>0.14100000000000001</v>
      </c>
      <c r="Y2" s="9">
        <f>SQRT((39100)/(T2-0.154))-273.15</f>
        <v>23.804926270562873</v>
      </c>
      <c r="Z2" s="9">
        <f>U2*((39100/((T2-0.154)^2))/(2*(Y2+273.15)))</f>
        <v>3.1476954295706934</v>
      </c>
      <c r="AA2" s="2">
        <f>(((EXP((17570/(273.15+Tableau4[[#This Row],[MAT (°C)]])-29.13)/1000)*(1000+Tableau4[[#This Row],[d18Osw_L.S (‰VSMOW)]]))-1000)-30.92)/1.03092</f>
        <v>0.56667616362620676</v>
      </c>
      <c r="AB2" s="2">
        <f>Tableau4[[#This Row],[d18Oc eq]]-(((EXP((17570/(273.15+Tableau4[[#This Row],[MAT (°C)]]+Tableau4[[#This Row],[T-var (°C)]])-29.13)/1000)*(1000+Tableau4[[#This Row],[d18Osw_L.S (‰VSMOW)]]-Tableau4[[#This Row],[d18Osw_L.S_E (‰VSMOW)]]))-1000)-30.92)/1.03092</f>
        <v>0.72400847931962631</v>
      </c>
      <c r="AC2" s="2">
        <f>Tableau4[[#This Row],[d18O (‰VPDB)]]-Tableau4[[#This Row],[d18Oc eq]]</f>
        <v>-0.42667616362620675</v>
      </c>
      <c r="AD2" s="2">
        <f>Tableau4[[#This Row],[d18Oc eq SD]]+Tableau4[[#This Row],[d18O_CI (‰VPDB)]]</f>
        <v>0.73400847931962632</v>
      </c>
      <c r="AE2" s="16">
        <f>0.0391*(1000000/((273.15+Tableau4[[#This Row],[MAT (°C)]])^2))+0.154</f>
        <v>0.59831200941555107</v>
      </c>
      <c r="AF2" s="16">
        <f>Tableau4[[#This Row],[D47 eq]]-(0.0391*(1000000/((273.15+Tableau4[[#This Row],[MAT (°C)]]+Tableau4[[#This Row],[T-var (°C)]])^2))+0.154)</f>
        <v>8.8520845223646338E-3</v>
      </c>
      <c r="AG2" s="16">
        <f>Tableau4[[#This Row],[D47 (‰ICDES)]]-Tableau4[[#This Row],[D47 eq]]</f>
        <v>-9.1200941555102943E-4</v>
      </c>
      <c r="AH2" s="16">
        <f>Tableau4[[#This Row],[D47 eq SD]]+Tableau4[[#This Row],[D47_CI]]</f>
        <v>1.8252084522364632E-2</v>
      </c>
      <c r="AI2" s="8"/>
      <c r="AJ2" s="8"/>
      <c r="AK2" s="8"/>
      <c r="AL2" s="8"/>
    </row>
    <row r="3" spans="1:38" x14ac:dyDescent="0.3">
      <c r="A3" s="3" t="s">
        <v>37</v>
      </c>
      <c r="B3" s="4">
        <v>16.350000000000001</v>
      </c>
      <c r="C3" s="4">
        <v>-60.9</v>
      </c>
      <c r="D3" s="5">
        <f t="shared" si="0"/>
        <v>136.5</v>
      </c>
      <c r="E3" s="1" t="s">
        <v>32</v>
      </c>
      <c r="F3" s="1" t="s">
        <v>38</v>
      </c>
      <c r="G3" s="1" t="s">
        <v>34</v>
      </c>
      <c r="H3" s="1" t="s">
        <v>92</v>
      </c>
      <c r="I3" s="1">
        <v>23.5</v>
      </c>
      <c r="J3" s="1">
        <v>3</v>
      </c>
      <c r="K3" s="1">
        <v>36.869999999999997</v>
      </c>
      <c r="L3" s="1">
        <v>0.12</v>
      </c>
      <c r="M3" s="4">
        <f t="shared" si="1"/>
        <v>0.92049999999999876</v>
      </c>
      <c r="N3" s="2">
        <v>0.13100000000000001</v>
      </c>
      <c r="O3" s="1" t="s">
        <v>35</v>
      </c>
      <c r="P3" s="6">
        <v>2.9550000000000001</v>
      </c>
      <c r="Q3" s="7">
        <v>0.05</v>
      </c>
      <c r="R3" s="6">
        <v>0.44900000000000001</v>
      </c>
      <c r="S3" s="1">
        <v>0.1</v>
      </c>
      <c r="T3" s="8"/>
      <c r="U3" s="8"/>
      <c r="V3" s="1" t="s">
        <v>39</v>
      </c>
      <c r="W3" s="2">
        <f t="shared" si="2"/>
        <v>-0.19149999999999873</v>
      </c>
      <c r="X3" s="2">
        <f t="shared" si="3"/>
        <v>0.23100000000000001</v>
      </c>
      <c r="Y3" s="8"/>
      <c r="Z3" s="8"/>
      <c r="AA3" s="8">
        <f>(((EXP((17570/(273.15+Tableau4[[#This Row],[MAT (°C)]])-29.13)/1000)*(1000+Tableau4[[#This Row],[d18Osw_L.S (‰VSMOW)]]))-1000)-30.92)/1.03092</f>
        <v>0.56667616362620676</v>
      </c>
      <c r="AB3" s="8">
        <f>Tableau4[[#This Row],[d18Oc eq]]-(((EXP((17570/(273.15+Tableau4[[#This Row],[MAT (°C)]]+Tableau4[[#This Row],[T-var (°C)]])-29.13)/1000)*(1000+Tableau4[[#This Row],[d18Osw_L.S (‰VSMOW)]]-Tableau4[[#This Row],[d18Osw_L.S_E (‰VSMOW)]]))-1000)-30.92)/1.03092</f>
        <v>0.72400847931962631</v>
      </c>
      <c r="AC3" s="8">
        <f>Tableau4[[#This Row],[d18O (‰VPDB)]]-Tableau4[[#This Row],[d18Oc eq]]</f>
        <v>-0.11767616362620675</v>
      </c>
      <c r="AD3" s="8">
        <f>Tableau4[[#This Row],[d18Oc eq SD]]+Tableau4[[#This Row],[d18O_CI (‰VPDB)]]</f>
        <v>0.82400847931962629</v>
      </c>
      <c r="AE3" s="16"/>
      <c r="AF3" s="16"/>
      <c r="AG3" s="16"/>
      <c r="AH3" s="16"/>
      <c r="AI3" s="2">
        <v>9.8166580561845347</v>
      </c>
      <c r="AJ3" s="2">
        <v>0.63044694515180211</v>
      </c>
      <c r="AK3" s="2">
        <v>5.2861549559202832</v>
      </c>
      <c r="AL3" s="2">
        <v>3.0971327770216739</v>
      </c>
    </row>
    <row r="4" spans="1:38" x14ac:dyDescent="0.3">
      <c r="A4" s="3" t="s">
        <v>40</v>
      </c>
      <c r="B4" s="4">
        <v>16.350000000000001</v>
      </c>
      <c r="C4" s="4">
        <v>-60.9</v>
      </c>
      <c r="D4" s="5">
        <f t="shared" si="0"/>
        <v>136.5</v>
      </c>
      <c r="E4" s="1" t="s">
        <v>32</v>
      </c>
      <c r="F4" s="1" t="s">
        <v>33</v>
      </c>
      <c r="G4" s="1" t="s">
        <v>34</v>
      </c>
      <c r="H4" s="1" t="s">
        <v>92</v>
      </c>
      <c r="I4" s="1">
        <v>23.5</v>
      </c>
      <c r="J4" s="1">
        <v>3</v>
      </c>
      <c r="K4" s="1">
        <v>36.869999999999997</v>
      </c>
      <c r="L4" s="1">
        <v>0.12</v>
      </c>
      <c r="M4" s="4">
        <f t="shared" si="1"/>
        <v>0.92049999999999876</v>
      </c>
      <c r="N4" s="2">
        <v>0.13100000000000001</v>
      </c>
      <c r="O4" s="1" t="s">
        <v>35</v>
      </c>
      <c r="P4" s="6">
        <v>2.68</v>
      </c>
      <c r="Q4" s="7">
        <v>0.01</v>
      </c>
      <c r="R4" s="6">
        <v>0.18</v>
      </c>
      <c r="S4" s="1">
        <v>0.02</v>
      </c>
      <c r="T4" s="8">
        <v>0.60489999999999999</v>
      </c>
      <c r="U4" s="8">
        <v>9.4999999999999998E-3</v>
      </c>
      <c r="V4" s="1" t="s">
        <v>36</v>
      </c>
      <c r="W4" s="2">
        <f t="shared" si="2"/>
        <v>-0.4604999999999988</v>
      </c>
      <c r="X4" s="2">
        <f t="shared" si="3"/>
        <v>0.151</v>
      </c>
      <c r="Y4" s="9">
        <f>SQRT((39100)/(T4-0.154))-273.15</f>
        <v>21.324885131046472</v>
      </c>
      <c r="Z4" s="9">
        <f>U4*((39100/((T4-0.154)^2))/(2*(Y4+273.15)))</f>
        <v>3.1021417262640738</v>
      </c>
      <c r="AA4" s="2">
        <f>(((EXP((17570/(273.15+Tableau4[[#This Row],[MAT (°C)]])-29.13)/1000)*(1000+Tableau4[[#This Row],[d18Osw_L.S (‰VSMOW)]]))-1000)-30.92)/1.03092</f>
        <v>0.56667616362620676</v>
      </c>
      <c r="AB4" s="2">
        <f>Tableau4[[#This Row],[d18Oc eq]]-(((EXP((17570/(273.15+Tableau4[[#This Row],[MAT (°C)]]+Tableau4[[#This Row],[T-var (°C)]])-29.13)/1000)*(1000+Tableau4[[#This Row],[d18Osw_L.S (‰VSMOW)]]-Tableau4[[#This Row],[d18Osw_L.S_E (‰VSMOW)]]))-1000)-30.92)/1.03092</f>
        <v>0.72400847931962631</v>
      </c>
      <c r="AC4" s="2">
        <f>Tableau4[[#This Row],[d18O (‰VPDB)]]-Tableau4[[#This Row],[d18Oc eq]]</f>
        <v>-0.38667616362620677</v>
      </c>
      <c r="AD4" s="2">
        <f>Tableau4[[#This Row],[d18Oc eq SD]]+Tableau4[[#This Row],[d18O_CI (‰VPDB)]]</f>
        <v>0.74400847931962633</v>
      </c>
      <c r="AE4" s="16">
        <f>0.0391*(1000000/((273.15+Tableau4[[#This Row],[MAT (°C)]])^2))+0.154</f>
        <v>0.59831200941555107</v>
      </c>
      <c r="AF4" s="16">
        <f>Tableau4[[#This Row],[D47 eq]]-(0.0391*(1000000/((273.15+Tableau4[[#This Row],[MAT (°C)]]+Tableau4[[#This Row],[T-var (°C)]])^2))+0.154)</f>
        <v>8.8520845223646338E-3</v>
      </c>
      <c r="AG4" s="16">
        <f>Tableau4[[#This Row],[D47 (‰ICDES)]]-Tableau4[[#This Row],[D47 eq]]</f>
        <v>6.5879905844489217E-3</v>
      </c>
      <c r="AH4" s="16">
        <f>Tableau4[[#This Row],[D47 eq SD]]+Tableau4[[#This Row],[D47_CI]]</f>
        <v>1.8352084522364635E-2</v>
      </c>
      <c r="AI4" s="8"/>
      <c r="AJ4" s="8"/>
      <c r="AK4" s="8"/>
      <c r="AL4" s="8"/>
    </row>
    <row r="5" spans="1:38" x14ac:dyDescent="0.3">
      <c r="A5" s="3" t="s">
        <v>41</v>
      </c>
      <c r="B5" s="4">
        <v>16.350000000000001</v>
      </c>
      <c r="C5" s="4">
        <v>-60.9</v>
      </c>
      <c r="D5" s="5">
        <f t="shared" si="0"/>
        <v>136.5</v>
      </c>
      <c r="E5" s="1" t="s">
        <v>32</v>
      </c>
      <c r="F5" s="1" t="s">
        <v>38</v>
      </c>
      <c r="G5" s="1" t="s">
        <v>34</v>
      </c>
      <c r="H5" s="1" t="s">
        <v>92</v>
      </c>
      <c r="I5" s="1">
        <v>23.5</v>
      </c>
      <c r="J5" s="1">
        <v>3</v>
      </c>
      <c r="K5" s="1">
        <v>36.869999999999997</v>
      </c>
      <c r="L5" s="1">
        <v>0.12</v>
      </c>
      <c r="M5" s="4">
        <f t="shared" si="1"/>
        <v>0.92049999999999876</v>
      </c>
      <c r="N5" s="2">
        <v>0.13100000000000001</v>
      </c>
      <c r="O5" s="1" t="s">
        <v>35</v>
      </c>
      <c r="P5" s="6">
        <v>2.7559999999999998</v>
      </c>
      <c r="Q5" s="7">
        <v>0.05</v>
      </c>
      <c r="R5" s="6">
        <v>0.313</v>
      </c>
      <c r="S5" s="1">
        <v>0.1</v>
      </c>
      <c r="T5" s="8"/>
      <c r="U5" s="8"/>
      <c r="V5" s="1" t="s">
        <v>39</v>
      </c>
      <c r="W5" s="2">
        <f t="shared" si="2"/>
        <v>-0.32749999999999879</v>
      </c>
      <c r="X5" s="2">
        <f t="shared" si="3"/>
        <v>0.23100000000000001</v>
      </c>
      <c r="Y5" s="8"/>
      <c r="Z5" s="8"/>
      <c r="AA5" s="8">
        <f>(((EXP((17570/(273.15+Tableau4[[#This Row],[MAT (°C)]])-29.13)/1000)*(1000+Tableau4[[#This Row],[d18Osw_L.S (‰VSMOW)]]))-1000)-30.92)/1.03092</f>
        <v>0.56667616362620676</v>
      </c>
      <c r="AB5" s="8">
        <f>Tableau4[[#This Row],[d18Oc eq]]-(((EXP((17570/(273.15+Tableau4[[#This Row],[MAT (°C)]]+Tableau4[[#This Row],[T-var (°C)]])-29.13)/1000)*(1000+Tableau4[[#This Row],[d18Osw_L.S (‰VSMOW)]]-Tableau4[[#This Row],[d18Osw_L.S_E (‰VSMOW)]]))-1000)-30.92)/1.03092</f>
        <v>0.72400847931962631</v>
      </c>
      <c r="AC5" s="8">
        <f>Tableau4[[#This Row],[d18O (‰VPDB)]]-Tableau4[[#This Row],[d18Oc eq]]</f>
        <v>-0.25367616362620676</v>
      </c>
      <c r="AD5" s="8">
        <f>Tableau4[[#This Row],[d18Oc eq SD]]+Tableau4[[#This Row],[d18O_CI (‰VPDB)]]</f>
        <v>0.82400847931962629</v>
      </c>
      <c r="AE5" s="16"/>
      <c r="AF5" s="16"/>
      <c r="AG5" s="16"/>
      <c r="AH5" s="16"/>
      <c r="AI5" s="8"/>
      <c r="AJ5" s="8"/>
      <c r="AK5" s="8"/>
      <c r="AL5" s="8"/>
    </row>
    <row r="6" spans="1:38" x14ac:dyDescent="0.3">
      <c r="A6" s="3" t="s">
        <v>41</v>
      </c>
      <c r="B6" s="4">
        <v>16.350000000000001</v>
      </c>
      <c r="C6" s="4">
        <v>-60.9</v>
      </c>
      <c r="D6" s="5">
        <f t="shared" si="0"/>
        <v>136.5</v>
      </c>
      <c r="E6" s="1" t="s">
        <v>32</v>
      </c>
      <c r="F6" s="1" t="s">
        <v>33</v>
      </c>
      <c r="G6" s="1" t="s">
        <v>34</v>
      </c>
      <c r="H6" s="1" t="s">
        <v>92</v>
      </c>
      <c r="I6" s="1">
        <v>23.5</v>
      </c>
      <c r="J6" s="1">
        <v>3</v>
      </c>
      <c r="K6" s="1">
        <v>36.869999999999997</v>
      </c>
      <c r="L6" s="1">
        <v>0.12</v>
      </c>
      <c r="M6" s="4">
        <f t="shared" si="1"/>
        <v>0.92049999999999876</v>
      </c>
      <c r="N6" s="2">
        <v>0.13100000000000001</v>
      </c>
      <c r="O6" s="1" t="s">
        <v>35</v>
      </c>
      <c r="P6" s="6">
        <v>2.6120000000000001</v>
      </c>
      <c r="Q6" s="7">
        <v>0.05</v>
      </c>
      <c r="R6" s="6">
        <v>0.23400000000000001</v>
      </c>
      <c r="S6" s="1">
        <v>0.1</v>
      </c>
      <c r="T6" s="8"/>
      <c r="U6" s="8"/>
      <c r="V6" s="1" t="s">
        <v>39</v>
      </c>
      <c r="W6" s="2">
        <f t="shared" si="2"/>
        <v>-0.40649999999999875</v>
      </c>
      <c r="X6" s="2">
        <f t="shared" si="3"/>
        <v>0.23100000000000001</v>
      </c>
      <c r="Y6" s="8"/>
      <c r="Z6" s="8"/>
      <c r="AA6" s="8">
        <f>(((EXP((17570/(273.15+Tableau4[[#This Row],[MAT (°C)]])-29.13)/1000)*(1000+Tableau4[[#This Row],[d18Osw_L.S (‰VSMOW)]]))-1000)-30.92)/1.03092</f>
        <v>0.56667616362620676</v>
      </c>
      <c r="AB6" s="8">
        <f>Tableau4[[#This Row],[d18Oc eq]]-(((EXP((17570/(273.15+Tableau4[[#This Row],[MAT (°C)]]+Tableau4[[#This Row],[T-var (°C)]])-29.13)/1000)*(1000+Tableau4[[#This Row],[d18Osw_L.S (‰VSMOW)]]-Tableau4[[#This Row],[d18Osw_L.S_E (‰VSMOW)]]))-1000)-30.92)/1.03092</f>
        <v>0.72400847931962631</v>
      </c>
      <c r="AC6" s="8">
        <f>Tableau4[[#This Row],[d18O (‰VPDB)]]-Tableau4[[#This Row],[d18Oc eq]]</f>
        <v>-0.33267616362620678</v>
      </c>
      <c r="AD6" s="8">
        <f>Tableau4[[#This Row],[d18Oc eq SD]]+Tableau4[[#This Row],[d18O_CI (‰VPDB)]]</f>
        <v>0.82400847931962629</v>
      </c>
      <c r="AE6" s="16"/>
      <c r="AF6" s="16"/>
      <c r="AG6" s="16"/>
      <c r="AH6" s="16"/>
      <c r="AI6" s="2">
        <v>3.8156569919706937</v>
      </c>
      <c r="AJ6" s="2">
        <v>0.55944899872444209</v>
      </c>
      <c r="AK6" s="2">
        <v>3.284461668625275</v>
      </c>
      <c r="AL6" s="2">
        <v>2.4795295544325007</v>
      </c>
    </row>
    <row r="7" spans="1:38" x14ac:dyDescent="0.3">
      <c r="A7" s="3" t="s">
        <v>42</v>
      </c>
      <c r="B7" s="4">
        <v>16.350000000000001</v>
      </c>
      <c r="C7" s="4">
        <v>-60.9</v>
      </c>
      <c r="D7" s="5">
        <f t="shared" si="0"/>
        <v>136.5</v>
      </c>
      <c r="E7" s="1" t="s">
        <v>32</v>
      </c>
      <c r="F7" s="1" t="s">
        <v>33</v>
      </c>
      <c r="G7" s="1" t="s">
        <v>34</v>
      </c>
      <c r="H7" s="1" t="s">
        <v>92</v>
      </c>
      <c r="I7" s="1">
        <v>23.5</v>
      </c>
      <c r="J7" s="1">
        <v>3</v>
      </c>
      <c r="K7" s="1">
        <v>36.869999999999997</v>
      </c>
      <c r="L7" s="1">
        <v>0.12</v>
      </c>
      <c r="M7" s="4">
        <f t="shared" si="1"/>
        <v>0.92049999999999876</v>
      </c>
      <c r="N7" s="2">
        <v>0.13100000000000001</v>
      </c>
      <c r="O7" s="1" t="s">
        <v>35</v>
      </c>
      <c r="P7" s="6">
        <v>2.58</v>
      </c>
      <c r="Q7" s="7">
        <v>0.01</v>
      </c>
      <c r="R7" s="6">
        <v>0.26</v>
      </c>
      <c r="S7" s="1">
        <v>0.02</v>
      </c>
      <c r="T7" s="8">
        <v>0.60860000000000003</v>
      </c>
      <c r="U7" s="8">
        <v>1.3100000000000001E-2</v>
      </c>
      <c r="V7" s="1" t="s">
        <v>36</v>
      </c>
      <c r="W7" s="2">
        <f t="shared" si="2"/>
        <v>-0.38049999999999873</v>
      </c>
      <c r="X7" s="2">
        <f t="shared" si="3"/>
        <v>0.151</v>
      </c>
      <c r="Y7" s="9">
        <f>SQRT((39100)/(T7-0.154))-273.15</f>
        <v>20.124067790760137</v>
      </c>
      <c r="Z7" s="9">
        <f>U7*((39100/((T7-0.154)^2))/(2*(Y7+273.15)))</f>
        <v>4.2255722481950713</v>
      </c>
      <c r="AA7" s="2">
        <f>(((EXP((17570/(273.15+Tableau4[[#This Row],[MAT (°C)]])-29.13)/1000)*(1000+Tableau4[[#This Row],[d18Osw_L.S (‰VSMOW)]]))-1000)-30.92)/1.03092</f>
        <v>0.56667616362620676</v>
      </c>
      <c r="AB7" s="2">
        <f>Tableau4[[#This Row],[d18Oc eq]]-(((EXP((17570/(273.15+Tableau4[[#This Row],[MAT (°C)]]+Tableau4[[#This Row],[T-var (°C)]])-29.13)/1000)*(1000+Tableau4[[#This Row],[d18Osw_L.S (‰VSMOW)]]-Tableau4[[#This Row],[d18Osw_L.S_E (‰VSMOW)]]))-1000)-30.92)/1.03092</f>
        <v>0.72400847931962631</v>
      </c>
      <c r="AC7" s="2">
        <f>Tableau4[[#This Row],[d18O (‰VPDB)]]-Tableau4[[#This Row],[d18Oc eq]]</f>
        <v>-0.30667616362620675</v>
      </c>
      <c r="AD7" s="2">
        <f>Tableau4[[#This Row],[d18Oc eq SD]]+Tableau4[[#This Row],[d18O_CI (‰VPDB)]]</f>
        <v>0.74400847931962633</v>
      </c>
      <c r="AE7" s="16">
        <f>0.0391*(1000000/((273.15+Tableau4[[#This Row],[MAT (°C)]])^2))+0.154</f>
        <v>0.59831200941555107</v>
      </c>
      <c r="AF7" s="16">
        <f>Tableau4[[#This Row],[D47 eq]]-(0.0391*(1000000/((273.15+Tableau4[[#This Row],[MAT (°C)]]+Tableau4[[#This Row],[T-var (°C)]])^2))+0.154)</f>
        <v>8.8520845223646338E-3</v>
      </c>
      <c r="AG7" s="16">
        <f>Tableau4[[#This Row],[D47 (‰ICDES)]]-Tableau4[[#This Row],[D47 eq]]</f>
        <v>1.0287990584448958E-2</v>
      </c>
      <c r="AH7" s="16">
        <f>Tableau4[[#This Row],[D47 eq SD]]+Tableau4[[#This Row],[D47_CI]]</f>
        <v>2.1952084522364634E-2</v>
      </c>
      <c r="AI7" s="8"/>
      <c r="AJ7" s="8"/>
      <c r="AK7" s="8"/>
      <c r="AL7" s="8"/>
    </row>
    <row r="8" spans="1:38" x14ac:dyDescent="0.3">
      <c r="A8" s="3" t="s">
        <v>43</v>
      </c>
      <c r="B8" s="4">
        <v>16.350000000000001</v>
      </c>
      <c r="C8" s="4">
        <v>-60.9</v>
      </c>
      <c r="D8" s="5">
        <f t="shared" si="0"/>
        <v>136.5</v>
      </c>
      <c r="E8" s="1" t="s">
        <v>32</v>
      </c>
      <c r="F8" s="1" t="s">
        <v>33</v>
      </c>
      <c r="G8" s="1" t="s">
        <v>34</v>
      </c>
      <c r="H8" s="1" t="s">
        <v>92</v>
      </c>
      <c r="I8" s="1">
        <v>23.5</v>
      </c>
      <c r="J8" s="1">
        <v>3</v>
      </c>
      <c r="K8" s="1">
        <v>36.869999999999997</v>
      </c>
      <c r="L8" s="1">
        <v>0.12</v>
      </c>
      <c r="M8" s="4">
        <f t="shared" si="1"/>
        <v>0.92049999999999876</v>
      </c>
      <c r="N8" s="2">
        <v>0.13100000000000001</v>
      </c>
      <c r="O8" s="1" t="s">
        <v>35</v>
      </c>
      <c r="P8" s="6">
        <v>2.56</v>
      </c>
      <c r="Q8" s="7">
        <v>0.05</v>
      </c>
      <c r="R8" s="6">
        <v>0.36099999999999999</v>
      </c>
      <c r="S8" s="1">
        <v>0.1</v>
      </c>
      <c r="T8" s="8"/>
      <c r="U8" s="8"/>
      <c r="V8" s="1" t="s">
        <v>39</v>
      </c>
      <c r="W8" s="2">
        <f t="shared" si="2"/>
        <v>-0.27949999999999875</v>
      </c>
      <c r="X8" s="2">
        <f t="shared" si="3"/>
        <v>0.23100000000000001</v>
      </c>
      <c r="Y8" s="8"/>
      <c r="Z8" s="8"/>
      <c r="AA8" s="8">
        <f>(((EXP((17570/(273.15+Tableau4[[#This Row],[MAT (°C)]])-29.13)/1000)*(1000+Tableau4[[#This Row],[d18Osw_L.S (‰VSMOW)]]))-1000)-30.92)/1.03092</f>
        <v>0.56667616362620676</v>
      </c>
      <c r="AB8" s="8">
        <f>Tableau4[[#This Row],[d18Oc eq]]-(((EXP((17570/(273.15+Tableau4[[#This Row],[MAT (°C)]]+Tableau4[[#This Row],[T-var (°C)]])-29.13)/1000)*(1000+Tableau4[[#This Row],[d18Osw_L.S (‰VSMOW)]]-Tableau4[[#This Row],[d18Osw_L.S_E (‰VSMOW)]]))-1000)-30.92)/1.03092</f>
        <v>0.72400847931962631</v>
      </c>
      <c r="AC8" s="8">
        <f>Tableau4[[#This Row],[d18O (‰VPDB)]]-Tableau4[[#This Row],[d18Oc eq]]</f>
        <v>-0.20567616362620678</v>
      </c>
      <c r="AD8" s="8">
        <f>Tableau4[[#This Row],[d18Oc eq SD]]+Tableau4[[#This Row],[d18O_CI (‰VPDB)]]</f>
        <v>0.82400847931962629</v>
      </c>
      <c r="AE8" s="16"/>
      <c r="AF8" s="16"/>
      <c r="AG8" s="16"/>
      <c r="AH8" s="16"/>
      <c r="AI8" s="8"/>
      <c r="AJ8" s="8"/>
      <c r="AK8" s="8"/>
      <c r="AL8" s="8"/>
    </row>
    <row r="9" spans="1:38" x14ac:dyDescent="0.3">
      <c r="A9" s="3" t="s">
        <v>43</v>
      </c>
      <c r="B9" s="4">
        <v>16.350000000000001</v>
      </c>
      <c r="C9" s="4">
        <v>-60.9</v>
      </c>
      <c r="D9" s="5">
        <f t="shared" si="0"/>
        <v>136.5</v>
      </c>
      <c r="E9" s="1" t="s">
        <v>32</v>
      </c>
      <c r="F9" s="1" t="s">
        <v>38</v>
      </c>
      <c r="G9" s="1" t="s">
        <v>34</v>
      </c>
      <c r="H9" s="1" t="s">
        <v>92</v>
      </c>
      <c r="I9" s="1">
        <v>23.5</v>
      </c>
      <c r="J9" s="1">
        <v>3</v>
      </c>
      <c r="K9" s="1">
        <v>36.869999999999997</v>
      </c>
      <c r="L9" s="1">
        <v>0.12</v>
      </c>
      <c r="M9" s="4">
        <f t="shared" si="1"/>
        <v>0.92049999999999876</v>
      </c>
      <c r="N9" s="2">
        <v>0.13100000000000001</v>
      </c>
      <c r="O9" s="1" t="s">
        <v>35</v>
      </c>
      <c r="P9" s="6">
        <v>2.714</v>
      </c>
      <c r="Q9" s="7">
        <v>0.05</v>
      </c>
      <c r="R9" s="6">
        <v>0.46700000000000003</v>
      </c>
      <c r="S9" s="1">
        <v>0.1</v>
      </c>
      <c r="T9" s="8"/>
      <c r="U9" s="8"/>
      <c r="V9" s="1" t="s">
        <v>39</v>
      </c>
      <c r="W9" s="2">
        <f t="shared" si="2"/>
        <v>-0.17349999999999871</v>
      </c>
      <c r="X9" s="2">
        <f t="shared" si="3"/>
        <v>0.23100000000000001</v>
      </c>
      <c r="Y9" s="8"/>
      <c r="Z9" s="8"/>
      <c r="AA9" s="8">
        <f>(((EXP((17570/(273.15+Tableau4[[#This Row],[MAT (°C)]])-29.13)/1000)*(1000+Tableau4[[#This Row],[d18Osw_L.S (‰VSMOW)]]))-1000)-30.92)/1.03092</f>
        <v>0.56667616362620676</v>
      </c>
      <c r="AB9" s="8">
        <f>Tableau4[[#This Row],[d18Oc eq]]-(((EXP((17570/(273.15+Tableau4[[#This Row],[MAT (°C)]]+Tableau4[[#This Row],[T-var (°C)]])-29.13)/1000)*(1000+Tableau4[[#This Row],[d18Osw_L.S (‰VSMOW)]]-Tableau4[[#This Row],[d18Osw_L.S_E (‰VSMOW)]]))-1000)-30.92)/1.03092</f>
        <v>0.72400847931962631</v>
      </c>
      <c r="AC9" s="8">
        <f>Tableau4[[#This Row],[d18O (‰VPDB)]]-Tableau4[[#This Row],[d18Oc eq]]</f>
        <v>-9.9676163626206737E-2</v>
      </c>
      <c r="AD9" s="8">
        <f>Tableau4[[#This Row],[d18Oc eq SD]]+Tableau4[[#This Row],[d18O_CI (‰VPDB)]]</f>
        <v>0.82400847931962629</v>
      </c>
      <c r="AE9" s="16"/>
      <c r="AF9" s="16"/>
      <c r="AG9" s="16"/>
      <c r="AH9" s="16"/>
      <c r="AI9" s="2">
        <v>6.9622275373786167</v>
      </c>
      <c r="AJ9" s="2">
        <v>0.58386254285091455</v>
      </c>
      <c r="AK9" s="2">
        <v>4.6356290123775272</v>
      </c>
      <c r="AL9" s="2">
        <v>2.8021394318092718</v>
      </c>
    </row>
    <row r="10" spans="1:38" x14ac:dyDescent="0.3">
      <c r="A10" s="1" t="s">
        <v>44</v>
      </c>
      <c r="B10" s="1">
        <v>-19.100000000000001</v>
      </c>
      <c r="C10" s="1">
        <v>163.5</v>
      </c>
      <c r="D10" s="1">
        <v>220</v>
      </c>
      <c r="E10" s="1" t="s">
        <v>32</v>
      </c>
      <c r="F10" s="1" t="s">
        <v>33</v>
      </c>
      <c r="G10" s="1" t="s">
        <v>34</v>
      </c>
      <c r="H10" s="1" t="s">
        <v>92</v>
      </c>
      <c r="I10" s="1">
        <v>19.7</v>
      </c>
      <c r="J10" s="1">
        <v>0.7</v>
      </c>
      <c r="K10" s="1">
        <v>35.61</v>
      </c>
      <c r="L10" s="1">
        <v>0.01</v>
      </c>
      <c r="M10" s="2">
        <f>K10*0.27-8.88</f>
        <v>0.73470000000000013</v>
      </c>
      <c r="N10" s="2">
        <v>7.8E-2</v>
      </c>
      <c r="O10" s="1" t="s">
        <v>45</v>
      </c>
      <c r="P10" s="6">
        <v>3.0630000000000002</v>
      </c>
      <c r="Q10" s="7">
        <v>0.05</v>
      </c>
      <c r="R10" s="6">
        <v>0.44</v>
      </c>
      <c r="S10" s="1">
        <v>0.1</v>
      </c>
      <c r="T10" s="8"/>
      <c r="U10" s="8"/>
      <c r="V10" s="1" t="s">
        <v>39</v>
      </c>
      <c r="W10" s="2">
        <f t="shared" si="2"/>
        <v>-1.4700000000000102E-2</v>
      </c>
      <c r="X10" s="2">
        <f t="shared" si="3"/>
        <v>0.17799999999999999</v>
      </c>
      <c r="Y10" s="8"/>
      <c r="Z10" s="8"/>
      <c r="AA10" s="8">
        <f>(((EXP((17570/(273.15+Tableau4[[#This Row],[MAT (°C)]])-29.13)/1000)*(1000+Tableau4[[#This Row],[d18Osw_L.S (‰VSMOW)]]))-1000)-30.92)/1.03092</f>
        <v>1.1500688894274615</v>
      </c>
      <c r="AB10" s="8">
        <f>Tableau4[[#This Row],[d18Oc eq]]-(((EXP((17570/(273.15+Tableau4[[#This Row],[MAT (°C)]]+Tableau4[[#This Row],[T-var (°C)]])-29.13)/1000)*(1000+Tableau4[[#This Row],[d18Osw_L.S (‰VSMOW)]]-Tableau4[[#This Row],[d18Osw_L.S_E (‰VSMOW)]]))-1000)-30.92)/1.03092</f>
        <v>0.22124349859422354</v>
      </c>
      <c r="AC10" s="8">
        <f>Tableau4[[#This Row],[d18O (‰VPDB)]]-Tableau4[[#This Row],[d18Oc eq]]</f>
        <v>-0.7100688894274616</v>
      </c>
      <c r="AD10" s="8">
        <f>Tableau4[[#This Row],[d18Oc eq SD]]+Tableau4[[#This Row],[d18O_CI (‰VPDB)]]</f>
        <v>0.32124349859422352</v>
      </c>
      <c r="AE10" s="16"/>
      <c r="AF10" s="16"/>
      <c r="AG10" s="16"/>
      <c r="AH10" s="16"/>
      <c r="AI10" s="2">
        <v>6.6764483985574001</v>
      </c>
      <c r="AJ10" s="2">
        <v>0.60177666725448709</v>
      </c>
      <c r="AK10" s="2">
        <v>5.2103625598543726</v>
      </c>
      <c r="AL10" s="2">
        <v>2.8493489554780189</v>
      </c>
    </row>
    <row r="11" spans="1:38" x14ac:dyDescent="0.3">
      <c r="A11" s="3" t="s">
        <v>46</v>
      </c>
      <c r="B11" s="4">
        <v>16.329999999999998</v>
      </c>
      <c r="C11" s="4">
        <v>-60.98</v>
      </c>
      <c r="D11" s="5">
        <v>250</v>
      </c>
      <c r="E11" s="1" t="s">
        <v>32</v>
      </c>
      <c r="F11" s="1" t="s">
        <v>33</v>
      </c>
      <c r="G11" s="1" t="s">
        <v>34</v>
      </c>
      <c r="H11" s="1" t="s">
        <v>92</v>
      </c>
      <c r="I11" s="1">
        <v>17.3</v>
      </c>
      <c r="J11" s="1">
        <v>1.2</v>
      </c>
      <c r="K11" s="1">
        <v>36.380000000000003</v>
      </c>
      <c r="L11" s="1">
        <v>0.03</v>
      </c>
      <c r="M11" s="4">
        <f>K11*0.15-4.61</f>
        <v>0.84699999999999953</v>
      </c>
      <c r="N11" s="2">
        <v>0.13100000000000001</v>
      </c>
      <c r="O11" s="1" t="s">
        <v>35</v>
      </c>
      <c r="P11" s="6">
        <v>2.3130000000000002</v>
      </c>
      <c r="Q11" s="7">
        <v>0.05</v>
      </c>
      <c r="R11" s="6">
        <v>1.242</v>
      </c>
      <c r="S11" s="1">
        <v>0.1</v>
      </c>
      <c r="T11" s="8"/>
      <c r="U11" s="8"/>
      <c r="V11" s="1" t="s">
        <v>39</v>
      </c>
      <c r="W11" s="2">
        <f t="shared" si="2"/>
        <v>0.67500000000000049</v>
      </c>
      <c r="X11" s="2">
        <f t="shared" si="3"/>
        <v>0.23100000000000001</v>
      </c>
      <c r="Y11" s="8"/>
      <c r="Z11" s="8"/>
      <c r="AA11" s="8">
        <f>(((EXP((17570/(273.15+Tableau4[[#This Row],[MAT (°C)]])-29.13)/1000)*(1000+Tableau4[[#This Row],[d18Osw_L.S (‰VSMOW)]]))-1000)-30.92)/1.03092</f>
        <v>1.7589186011239262</v>
      </c>
      <c r="AB11" s="8">
        <f>Tableau4[[#This Row],[d18Oc eq]]-(((EXP((17570/(273.15+Tableau4[[#This Row],[MAT (°C)]]+Tableau4[[#This Row],[T-var (°C)]])-29.13)/1000)*(1000+Tableau4[[#This Row],[d18Osw_L.S (‰VSMOW)]]-Tableau4[[#This Row],[d18Osw_L.S_E (‰VSMOW)]]))-1000)-30.92)/1.03092</f>
        <v>0.3803904826719342</v>
      </c>
      <c r="AC11" s="8">
        <f>Tableau4[[#This Row],[d18O (‰VPDB)]]-Tableau4[[#This Row],[d18Oc eq]]</f>
        <v>-0.51691860112392618</v>
      </c>
      <c r="AD11" s="8">
        <f>Tableau4[[#This Row],[d18Oc eq SD]]+Tableau4[[#This Row],[d18O_CI (‰VPDB)]]</f>
        <v>0.48039048267193418</v>
      </c>
      <c r="AE11" s="16"/>
      <c r="AF11" s="16"/>
      <c r="AG11" s="16"/>
      <c r="AH11" s="16"/>
      <c r="AI11" s="2">
        <v>4.8695943830421271</v>
      </c>
      <c r="AJ11" s="2">
        <v>0.49932861931252437</v>
      </c>
      <c r="AK11" s="2">
        <v>3.8580249829925424</v>
      </c>
      <c r="AL11" s="2">
        <v>1.9817490729755485</v>
      </c>
    </row>
    <row r="12" spans="1:38" x14ac:dyDescent="0.3">
      <c r="A12" s="3" t="s">
        <v>46</v>
      </c>
      <c r="B12" s="4">
        <v>16.329999999999998</v>
      </c>
      <c r="C12" s="4">
        <v>-60.98</v>
      </c>
      <c r="D12" s="5">
        <v>250</v>
      </c>
      <c r="E12" s="1" t="s">
        <v>32</v>
      </c>
      <c r="F12" s="1" t="s">
        <v>38</v>
      </c>
      <c r="G12" s="1" t="s">
        <v>34</v>
      </c>
      <c r="H12" s="1" t="s">
        <v>92</v>
      </c>
      <c r="I12" s="1">
        <v>17.3</v>
      </c>
      <c r="J12" s="1">
        <v>1.2</v>
      </c>
      <c r="K12" s="1">
        <v>36.380000000000003</v>
      </c>
      <c r="L12" s="1">
        <v>0.03</v>
      </c>
      <c r="M12" s="4">
        <f>K12*0.15-4.61</f>
        <v>0.84699999999999953</v>
      </c>
      <c r="N12" s="2">
        <v>0.13100000000000001</v>
      </c>
      <c r="O12" s="1" t="s">
        <v>35</v>
      </c>
      <c r="P12" s="6">
        <v>2.2480000000000002</v>
      </c>
      <c r="Q12" s="7">
        <v>0.05</v>
      </c>
      <c r="R12" s="6">
        <v>1.25</v>
      </c>
      <c r="S12" s="1">
        <v>0.1</v>
      </c>
      <c r="T12" s="8"/>
      <c r="U12" s="8"/>
      <c r="V12" s="1" t="s">
        <v>39</v>
      </c>
      <c r="W12" s="2">
        <f t="shared" si="2"/>
        <v>0.6830000000000005</v>
      </c>
      <c r="X12" s="2">
        <f t="shared" si="3"/>
        <v>0.23100000000000001</v>
      </c>
      <c r="Y12" s="8"/>
      <c r="Z12" s="8"/>
      <c r="AA12" s="8">
        <f>(((EXP((17570/(273.15+Tableau4[[#This Row],[MAT (°C)]])-29.13)/1000)*(1000+Tableau4[[#This Row],[d18Osw_L.S (‰VSMOW)]]))-1000)-30.92)/1.03092</f>
        <v>1.7589186011239262</v>
      </c>
      <c r="AB12" s="8">
        <f>Tableau4[[#This Row],[d18Oc eq]]-(((EXP((17570/(273.15+Tableau4[[#This Row],[MAT (°C)]]+Tableau4[[#This Row],[T-var (°C)]])-29.13)/1000)*(1000+Tableau4[[#This Row],[d18Osw_L.S (‰VSMOW)]]-Tableau4[[#This Row],[d18Osw_L.S_E (‰VSMOW)]]))-1000)-30.92)/1.03092</f>
        <v>0.3803904826719342</v>
      </c>
      <c r="AC12" s="8">
        <f>Tableau4[[#This Row],[d18O (‰VPDB)]]-Tableau4[[#This Row],[d18Oc eq]]</f>
        <v>-0.50891860112392617</v>
      </c>
      <c r="AD12" s="8">
        <f>Tableau4[[#This Row],[d18Oc eq SD]]+Tableau4[[#This Row],[d18O_CI (‰VPDB)]]</f>
        <v>0.48039048267193418</v>
      </c>
      <c r="AE12" s="16"/>
      <c r="AF12" s="16"/>
      <c r="AG12" s="16"/>
      <c r="AH12" s="16"/>
      <c r="AI12" s="8"/>
      <c r="AJ12" s="8"/>
      <c r="AK12" s="8"/>
      <c r="AL12" s="8"/>
    </row>
    <row r="13" spans="1:38" x14ac:dyDescent="0.3">
      <c r="A13" s="1" t="s">
        <v>47</v>
      </c>
      <c r="B13" s="1">
        <v>-18.98</v>
      </c>
      <c r="C13" s="1">
        <v>163.4</v>
      </c>
      <c r="D13" s="1">
        <v>320</v>
      </c>
      <c r="E13" s="1" t="s">
        <v>32</v>
      </c>
      <c r="F13" s="1" t="s">
        <v>33</v>
      </c>
      <c r="G13" s="1" t="s">
        <v>34</v>
      </c>
      <c r="H13" s="1" t="s">
        <v>92</v>
      </c>
      <c r="I13" s="1">
        <v>16.399999999999999</v>
      </c>
      <c r="J13" s="1">
        <v>0.7</v>
      </c>
      <c r="K13" s="1">
        <v>35.4</v>
      </c>
      <c r="L13" s="1">
        <v>0.02</v>
      </c>
      <c r="M13" s="2">
        <f>K13*0.27-8.88</f>
        <v>0.67799999999999905</v>
      </c>
      <c r="N13" s="2">
        <v>7.8E-2</v>
      </c>
      <c r="O13" s="1" t="s">
        <v>45</v>
      </c>
      <c r="P13" s="6">
        <v>2.8730000000000002</v>
      </c>
      <c r="Q13" s="7">
        <v>0.05</v>
      </c>
      <c r="R13" s="6">
        <v>1.1020000000000001</v>
      </c>
      <c r="S13" s="1">
        <v>0.1</v>
      </c>
      <c r="T13" s="8"/>
      <c r="U13" s="8"/>
      <c r="V13" s="1" t="s">
        <v>39</v>
      </c>
      <c r="W13" s="2">
        <f t="shared" si="2"/>
        <v>0.70400000000000107</v>
      </c>
      <c r="X13" s="2">
        <f t="shared" si="3"/>
        <v>0.17799999999999999</v>
      </c>
      <c r="Y13" s="8"/>
      <c r="Z13" s="8"/>
      <c r="AA13" s="8">
        <f>(((EXP((17570/(273.15+Tableau4[[#This Row],[MAT (°C)]])-29.13)/1000)*(1000+Tableau4[[#This Row],[d18Osw_L.S (‰VSMOW)]]))-1000)-30.92)/1.03092</f>
        <v>1.7781078536487218</v>
      </c>
      <c r="AB13" s="8">
        <f>Tableau4[[#This Row],[d18Oc eq]]-(((EXP((17570/(273.15+Tableau4[[#This Row],[MAT (°C)]]+Tableau4[[#This Row],[T-var (°C)]])-29.13)/1000)*(1000+Tableau4[[#This Row],[d18Osw_L.S (‰VSMOW)]]-Tableau4[[#This Row],[d18Osw_L.S_E (‰VSMOW)]]))-1000)-30.92)/1.03092</f>
        <v>0.22466750268131364</v>
      </c>
      <c r="AC13" s="8">
        <f>Tableau4[[#This Row],[d18O (‰VPDB)]]-Tableau4[[#This Row],[d18Oc eq]]</f>
        <v>-0.67610785364872172</v>
      </c>
      <c r="AD13" s="8">
        <f>Tableau4[[#This Row],[d18Oc eq SD]]+Tableau4[[#This Row],[d18O_CI (‰VPDB)]]</f>
        <v>0.32466750268131361</v>
      </c>
      <c r="AE13" s="16"/>
      <c r="AF13" s="16"/>
      <c r="AG13" s="16"/>
      <c r="AH13" s="16"/>
      <c r="AI13" s="10">
        <v>6.6972901807291176</v>
      </c>
      <c r="AJ13" s="10">
        <v>0.55040604556648032</v>
      </c>
      <c r="AK13" s="11">
        <v>6.0064349649325566</v>
      </c>
      <c r="AL13" s="6">
        <v>2.8749052616402819</v>
      </c>
    </row>
    <row r="14" spans="1:38" x14ac:dyDescent="0.3">
      <c r="A14" s="1" t="s">
        <v>47</v>
      </c>
      <c r="B14" s="1">
        <v>-18.98</v>
      </c>
      <c r="C14" s="1">
        <v>163.4</v>
      </c>
      <c r="D14" s="1">
        <v>320</v>
      </c>
      <c r="E14" s="1" t="s">
        <v>32</v>
      </c>
      <c r="F14" s="1" t="s">
        <v>38</v>
      </c>
      <c r="G14" s="1" t="s">
        <v>34</v>
      </c>
      <c r="H14" s="1" t="s">
        <v>92</v>
      </c>
      <c r="I14" s="1">
        <v>16.399999999999999</v>
      </c>
      <c r="J14" s="1">
        <v>0.7</v>
      </c>
      <c r="K14" s="1">
        <v>35.4</v>
      </c>
      <c r="L14" s="1">
        <v>0.02</v>
      </c>
      <c r="M14" s="2">
        <f>K14*0.27-8.88</f>
        <v>0.67799999999999905</v>
      </c>
      <c r="N14" s="2">
        <v>7.8E-2</v>
      </c>
      <c r="O14" s="1" t="s">
        <v>45</v>
      </c>
      <c r="P14" s="6">
        <v>2.9910000000000001</v>
      </c>
      <c r="Q14" s="7">
        <v>0.05</v>
      </c>
      <c r="R14" s="6">
        <v>1.121</v>
      </c>
      <c r="S14" s="1">
        <v>0.1</v>
      </c>
      <c r="T14" s="8"/>
      <c r="U14" s="8"/>
      <c r="V14" s="1" t="s">
        <v>39</v>
      </c>
      <c r="W14" s="2">
        <f t="shared" si="2"/>
        <v>0.72300000000000098</v>
      </c>
      <c r="X14" s="2">
        <f t="shared" si="3"/>
        <v>0.17799999999999999</v>
      </c>
      <c r="Y14" s="8"/>
      <c r="Z14" s="8"/>
      <c r="AA14" s="8">
        <f>(((EXP((17570/(273.15+Tableau4[[#This Row],[MAT (°C)]])-29.13)/1000)*(1000+Tableau4[[#This Row],[d18Osw_L.S (‰VSMOW)]]))-1000)-30.92)/1.03092</f>
        <v>1.7781078536487218</v>
      </c>
      <c r="AB14" s="8">
        <f>Tableau4[[#This Row],[d18Oc eq]]-(((EXP((17570/(273.15+Tableau4[[#This Row],[MAT (°C)]]+Tableau4[[#This Row],[T-var (°C)]])-29.13)/1000)*(1000+Tableau4[[#This Row],[d18Osw_L.S (‰VSMOW)]]-Tableau4[[#This Row],[d18Osw_L.S_E (‰VSMOW)]]))-1000)-30.92)/1.03092</f>
        <v>0.22466750268131364</v>
      </c>
      <c r="AC14" s="8">
        <f>Tableau4[[#This Row],[d18O (‰VPDB)]]-Tableau4[[#This Row],[d18Oc eq]]</f>
        <v>-0.65710785364872182</v>
      </c>
      <c r="AD14" s="8">
        <f>Tableau4[[#This Row],[d18Oc eq SD]]+Tableau4[[#This Row],[d18O_CI (‰VPDB)]]</f>
        <v>0.32466750268131361</v>
      </c>
      <c r="AE14" s="16"/>
      <c r="AF14" s="16"/>
      <c r="AG14" s="16"/>
      <c r="AH14" s="16"/>
      <c r="AI14" s="8"/>
      <c r="AJ14" s="8"/>
      <c r="AK14" s="8"/>
      <c r="AL14" s="8"/>
    </row>
    <row r="15" spans="1:38" x14ac:dyDescent="0.3">
      <c r="A15" s="1" t="s">
        <v>48</v>
      </c>
      <c r="B15" s="1">
        <v>-18.98</v>
      </c>
      <c r="C15" s="1">
        <v>163.4</v>
      </c>
      <c r="D15" s="1">
        <v>320</v>
      </c>
      <c r="E15" s="1" t="s">
        <v>32</v>
      </c>
      <c r="F15" s="1" t="s">
        <v>33</v>
      </c>
      <c r="G15" s="1" t="s">
        <v>34</v>
      </c>
      <c r="H15" s="1" t="s">
        <v>92</v>
      </c>
      <c r="I15" s="1">
        <v>16.399999999999999</v>
      </c>
      <c r="J15" s="1">
        <v>0.7</v>
      </c>
      <c r="K15" s="1">
        <v>35.4</v>
      </c>
      <c r="L15" s="1">
        <v>0.02</v>
      </c>
      <c r="M15" s="2">
        <f>K15*0.27-8.88</f>
        <v>0.67799999999999905</v>
      </c>
      <c r="N15" s="2">
        <v>7.8E-2</v>
      </c>
      <c r="O15" s="1" t="s">
        <v>45</v>
      </c>
      <c r="P15" s="6">
        <v>2.8</v>
      </c>
      <c r="Q15" s="7">
        <v>0.01</v>
      </c>
      <c r="R15" s="6">
        <v>0.88</v>
      </c>
      <c r="S15" s="1">
        <v>0.02</v>
      </c>
      <c r="T15" s="8">
        <v>0.621</v>
      </c>
      <c r="U15" s="8">
        <v>1.3100000000000001E-2</v>
      </c>
      <c r="V15" s="1" t="s">
        <v>36</v>
      </c>
      <c r="W15" s="2">
        <f t="shared" si="2"/>
        <v>0.48200000000000098</v>
      </c>
      <c r="X15" s="2">
        <f t="shared" si="3"/>
        <v>9.8000000000000004E-2</v>
      </c>
      <c r="Y15" s="9">
        <f>SQRT((39100)/(T15-0.154))-273.15</f>
        <v>16.204298506588373</v>
      </c>
      <c r="Z15" s="9">
        <f>U15*((39100/((T15-0.154)^2))/(2*(Y15+273.15)))</f>
        <v>4.0583954073193871</v>
      </c>
      <c r="AA15" s="2">
        <f>(((EXP((17570/(273.15+Tableau4[[#This Row],[MAT (°C)]])-29.13)/1000)*(1000+Tableau4[[#This Row],[d18Osw_L.S (‰VSMOW)]]))-1000)-30.92)/1.03092</f>
        <v>1.7781078536487218</v>
      </c>
      <c r="AB15" s="2">
        <f>Tableau4[[#This Row],[d18Oc eq]]-(((EXP((17570/(273.15+Tableau4[[#This Row],[MAT (°C)]]+Tableau4[[#This Row],[T-var (°C)]])-29.13)/1000)*(1000+Tableau4[[#This Row],[d18Osw_L.S (‰VSMOW)]]-Tableau4[[#This Row],[d18Osw_L.S_E (‰VSMOW)]]))-1000)-30.92)/1.03092</f>
        <v>0.22466750268131364</v>
      </c>
      <c r="AC15" s="2">
        <f>Tableau4[[#This Row],[d18O (‰VPDB)]]-Tableau4[[#This Row],[d18Oc eq]]</f>
        <v>-0.89810785364872181</v>
      </c>
      <c r="AD15" s="2">
        <f>Tableau4[[#This Row],[d18Oc eq SD]]+Tableau4[[#This Row],[d18O_CI (‰VPDB)]]</f>
        <v>0.24466750268131363</v>
      </c>
      <c r="AE15" s="16">
        <f>0.0391*(1000000/((273.15+Tableau4[[#This Row],[MAT (°C)]])^2))+0.154</f>
        <v>0.62036893999558285</v>
      </c>
      <c r="AF15" s="16">
        <f>Tableau4[[#This Row],[D47 eq]]-(0.0391*(1000000/((273.15+Tableau4[[#This Row],[MAT (°C)]]+Tableau4[[#This Row],[T-var (°C)]])^2))+0.154)</f>
        <v>2.2467844686637761E-3</v>
      </c>
      <c r="AG15" s="16">
        <f>Tableau4[[#This Row],[D47 (‰ICDES)]]-Tableau4[[#This Row],[D47 eq]]</f>
        <v>6.3106000441714993E-4</v>
      </c>
      <c r="AH15" s="16">
        <f>Tableau4[[#This Row],[D47 eq SD]]+Tableau4[[#This Row],[D47_CI]]</f>
        <v>1.5346784468663777E-2</v>
      </c>
      <c r="AI15" s="8"/>
      <c r="AJ15" s="8"/>
      <c r="AK15" s="8"/>
      <c r="AL15" s="8"/>
    </row>
    <row r="16" spans="1:38" x14ac:dyDescent="0.3">
      <c r="A16" s="3" t="s">
        <v>49</v>
      </c>
      <c r="B16" s="4">
        <v>15.8833333</v>
      </c>
      <c r="C16" s="4">
        <v>-61.4166666666666</v>
      </c>
      <c r="D16" s="5">
        <v>264</v>
      </c>
      <c r="E16" s="1" t="s">
        <v>32</v>
      </c>
      <c r="F16" s="1" t="s">
        <v>33</v>
      </c>
      <c r="G16" s="1" t="s">
        <v>34</v>
      </c>
      <c r="H16" s="1" t="s">
        <v>92</v>
      </c>
      <c r="I16" s="1">
        <v>16.600000000000001</v>
      </c>
      <c r="J16" s="1">
        <v>1</v>
      </c>
      <c r="K16" s="1">
        <v>36.22</v>
      </c>
      <c r="L16" s="1">
        <v>0.04</v>
      </c>
      <c r="M16" s="4">
        <f>K16*0.15-4.61</f>
        <v>0.82299999999999951</v>
      </c>
      <c r="N16" s="2">
        <v>0.13100000000000001</v>
      </c>
      <c r="O16" s="1" t="s">
        <v>35</v>
      </c>
      <c r="P16" s="6">
        <v>2.673</v>
      </c>
      <c r="Q16" s="7">
        <v>0.05</v>
      </c>
      <c r="R16" s="6">
        <v>1.2729999999999999</v>
      </c>
      <c r="S16" s="1">
        <v>0.1</v>
      </c>
      <c r="T16" s="8"/>
      <c r="U16" s="8"/>
      <c r="V16" s="1" t="s">
        <v>39</v>
      </c>
      <c r="W16" s="2">
        <f t="shared" si="2"/>
        <v>0.73000000000000043</v>
      </c>
      <c r="X16" s="2">
        <f t="shared" si="3"/>
        <v>0.23100000000000001</v>
      </c>
      <c r="Y16" s="8"/>
      <c r="Z16" s="8"/>
      <c r="AA16" s="8">
        <f>(((EXP((17570/(273.15+Tableau4[[#This Row],[MAT (°C)]])-29.13)/1000)*(1000+Tableau4[[#This Row],[d18Osw_L.S (‰VSMOW)]]))-1000)-30.92)/1.03092</f>
        <v>1.881302948917146</v>
      </c>
      <c r="AB16" s="8">
        <f>Tableau4[[#This Row],[d18Oc eq]]-(((EXP((17570/(273.15+Tableau4[[#This Row],[MAT (°C)]]+Tableau4[[#This Row],[T-var (°C)]])-29.13)/1000)*(1000+Tableau4[[#This Row],[d18Osw_L.S (‰VSMOW)]]-Tableau4[[#This Row],[d18Osw_L.S_E (‰VSMOW)]]))-1000)-30.92)/1.03092</f>
        <v>0.34004058658917691</v>
      </c>
      <c r="AC16" s="8">
        <f>Tableau4[[#This Row],[d18O (‰VPDB)]]-Tableau4[[#This Row],[d18Oc eq]]</f>
        <v>-0.60830294891714609</v>
      </c>
      <c r="AD16" s="8">
        <f>Tableau4[[#This Row],[d18Oc eq SD]]+Tableau4[[#This Row],[d18O_CI (‰VPDB)]]</f>
        <v>0.44004058658917689</v>
      </c>
      <c r="AE16" s="16"/>
      <c r="AF16" s="16"/>
      <c r="AG16" s="16"/>
      <c r="AH16" s="16"/>
      <c r="AI16" s="2">
        <v>6.8719753218319433</v>
      </c>
      <c r="AJ16" s="2">
        <v>0.52762741097818322</v>
      </c>
      <c r="AK16" s="2">
        <v>3.8930749008483247</v>
      </c>
      <c r="AL16" s="2">
        <v>2.4048512058879901</v>
      </c>
    </row>
    <row r="17" spans="1:38" x14ac:dyDescent="0.3">
      <c r="A17" s="3" t="s">
        <v>49</v>
      </c>
      <c r="B17" s="4">
        <v>15.8833333</v>
      </c>
      <c r="C17" s="4">
        <v>-61.4166666666666</v>
      </c>
      <c r="D17" s="5">
        <v>264</v>
      </c>
      <c r="E17" s="1" t="s">
        <v>32</v>
      </c>
      <c r="F17" s="1" t="s">
        <v>33</v>
      </c>
      <c r="G17" s="1" t="s">
        <v>34</v>
      </c>
      <c r="H17" s="1" t="s">
        <v>92</v>
      </c>
      <c r="I17" s="1">
        <v>16.600000000000001</v>
      </c>
      <c r="J17" s="1">
        <v>1</v>
      </c>
      <c r="K17" s="1">
        <v>36.22</v>
      </c>
      <c r="L17" s="1">
        <v>0.04</v>
      </c>
      <c r="M17" s="4">
        <f>K17*0.15-4.61</f>
        <v>0.82299999999999951</v>
      </c>
      <c r="N17" s="2">
        <v>0.13100000000000001</v>
      </c>
      <c r="O17" s="1" t="s">
        <v>35</v>
      </c>
      <c r="P17" s="6">
        <v>2.75</v>
      </c>
      <c r="Q17" s="7">
        <v>0.03</v>
      </c>
      <c r="R17" s="6">
        <v>1.44</v>
      </c>
      <c r="S17" s="1">
        <v>0.03</v>
      </c>
      <c r="T17" s="8">
        <v>0.61129999999999995</v>
      </c>
      <c r="U17" s="8">
        <v>6.8999999999999999E-3</v>
      </c>
      <c r="V17" s="1" t="s">
        <v>36</v>
      </c>
      <c r="W17" s="2">
        <f t="shared" si="2"/>
        <v>0.89700000000000046</v>
      </c>
      <c r="X17" s="2">
        <f t="shared" si="3"/>
        <v>0.161</v>
      </c>
      <c r="Y17" s="9">
        <f>SQRT((39100)/(T17-0.154))-273.15</f>
        <v>19.257008698593779</v>
      </c>
      <c r="Z17" s="9">
        <f>U17*((39100/((T17-0.154)^2))/(2*(Y17+273.15)))</f>
        <v>2.2060008309865484</v>
      </c>
      <c r="AA17" s="2">
        <f>(((EXP((17570/(273.15+Tableau4[[#This Row],[MAT (°C)]])-29.13)/1000)*(1000+Tableau4[[#This Row],[d18Osw_L.S (‰VSMOW)]]))-1000)-30.92)/1.03092</f>
        <v>1.881302948917146</v>
      </c>
      <c r="AB17" s="2">
        <f>Tableau4[[#This Row],[d18Oc eq]]-(((EXP((17570/(273.15+Tableau4[[#This Row],[MAT (°C)]]+Tableau4[[#This Row],[T-var (°C)]])-29.13)/1000)*(1000+Tableau4[[#This Row],[d18Osw_L.S (‰VSMOW)]]-Tableau4[[#This Row],[d18Osw_L.S_E (‰VSMOW)]]))-1000)-30.92)/1.03092</f>
        <v>0.34004058658917691</v>
      </c>
      <c r="AC17" s="2">
        <f>Tableau4[[#This Row],[d18O (‰VPDB)]]-Tableau4[[#This Row],[d18Oc eq]]</f>
        <v>-0.44130294891714605</v>
      </c>
      <c r="AD17" s="2">
        <f>Tableau4[[#This Row],[d18Oc eq SD]]+Tableau4[[#This Row],[d18O_CI (‰VPDB)]]</f>
        <v>0.37004058658917693</v>
      </c>
      <c r="AE17" s="16">
        <f>0.0391*(1000000/((273.15+Tableau4[[#This Row],[MAT (°C)]])^2))+0.154</f>
        <v>0.6197253396720418</v>
      </c>
      <c r="AF17" s="16">
        <f>Tableau4[[#This Row],[D47 eq]]-(0.0391*(1000000/((273.15+Tableau4[[#This Row],[MAT (°C)]]+Tableau4[[#This Row],[T-var (°C)]])^2))+0.154)</f>
        <v>3.1981044625996047E-3</v>
      </c>
      <c r="AG17" s="16">
        <f>Tableau4[[#This Row],[D47 (‰ICDES)]]-Tableau4[[#This Row],[D47 eq]]</f>
        <v>-8.4253396720418428E-3</v>
      </c>
      <c r="AH17" s="16">
        <f>Tableau4[[#This Row],[D47 eq SD]]+Tableau4[[#This Row],[D47_CI]]</f>
        <v>1.0098104462599605E-2</v>
      </c>
      <c r="AI17" s="2">
        <v>6.8719753218319433</v>
      </c>
      <c r="AJ17" s="2">
        <v>0.52762741097818322</v>
      </c>
      <c r="AK17" s="2">
        <v>3.8930749008483247</v>
      </c>
      <c r="AL17" s="2">
        <v>2.4048512058879901</v>
      </c>
    </row>
    <row r="18" spans="1:38" ht="28.8" x14ac:dyDescent="0.3">
      <c r="A18" s="3" t="s">
        <v>50</v>
      </c>
      <c r="B18" s="4">
        <v>-43.574166699999999</v>
      </c>
      <c r="C18" s="4">
        <v>172.66861111111101</v>
      </c>
      <c r="D18" s="5">
        <v>20</v>
      </c>
      <c r="E18" s="3" t="s">
        <v>51</v>
      </c>
      <c r="F18" s="1" t="s">
        <v>33</v>
      </c>
      <c r="G18" s="1" t="s">
        <v>34</v>
      </c>
      <c r="H18" s="1" t="s">
        <v>92</v>
      </c>
      <c r="I18" s="1">
        <v>14</v>
      </c>
      <c r="J18" s="1">
        <v>4</v>
      </c>
      <c r="K18" s="4">
        <v>33.4</v>
      </c>
      <c r="L18" s="4">
        <v>0.9</v>
      </c>
      <c r="M18" s="4">
        <f>K18*0.45-15.29</f>
        <v>-0.25999999999999979</v>
      </c>
      <c r="N18" s="2">
        <v>0.08</v>
      </c>
      <c r="O18" s="1" t="s">
        <v>52</v>
      </c>
      <c r="P18" s="2">
        <v>2.35</v>
      </c>
      <c r="Q18" s="1">
        <v>0.05</v>
      </c>
      <c r="R18" s="2">
        <v>0.85399999999999998</v>
      </c>
      <c r="S18" s="1">
        <v>0.1</v>
      </c>
      <c r="T18" s="8"/>
      <c r="U18" s="8"/>
      <c r="V18" s="1" t="s">
        <v>39</v>
      </c>
      <c r="W18" s="2">
        <f t="shared" si="2"/>
        <v>1.3939999999999999</v>
      </c>
      <c r="X18" s="2">
        <f t="shared" si="3"/>
        <v>0.18</v>
      </c>
      <c r="Y18" s="8"/>
      <c r="Z18" s="8"/>
      <c r="AA18" s="8">
        <f>(((EXP((17570/(273.15+Tableau4[[#This Row],[MAT (°C)]])-29.13)/1000)*(1000+Tableau4[[#This Row],[d18Osw_L.S (‰VSMOW)]]))-1000)-30.92)/1.03092</f>
        <v>1.3467975050324301</v>
      </c>
      <c r="AB18" s="8">
        <f>Tableau4[[#This Row],[d18Oc eq]]-(((EXP((17570/(273.15+Tableau4[[#This Row],[MAT (°C)]]+Tableau4[[#This Row],[T-var (°C)]])-29.13)/1000)*(1000+Tableau4[[#This Row],[d18Osw_L.S (‰VSMOW)]]-Tableau4[[#This Row],[d18Osw_L.S_E (‰VSMOW)]]))-1000)-30.92)/1.03092</f>
        <v>0.92147212551296587</v>
      </c>
      <c r="AC18" s="8">
        <f>Tableau4[[#This Row],[d18O (‰VPDB)]]-Tableau4[[#This Row],[d18Oc eq]]</f>
        <v>-0.49279750503243014</v>
      </c>
      <c r="AD18" s="8">
        <f>Tableau4[[#This Row],[d18Oc eq SD]]+Tableau4[[#This Row],[d18O_CI (‰VPDB)]]</f>
        <v>1.021472125512966</v>
      </c>
      <c r="AE18" s="16"/>
      <c r="AF18" s="16"/>
      <c r="AG18" s="16"/>
      <c r="AH18" s="16"/>
      <c r="AI18" s="2">
        <v>5.7326834485752629</v>
      </c>
      <c r="AJ18" s="2">
        <v>1.0374103402243051</v>
      </c>
      <c r="AK18" s="2">
        <v>34.383726201868406</v>
      </c>
      <c r="AL18" s="2">
        <v>9.7523642859974267</v>
      </c>
    </row>
    <row r="19" spans="1:38" ht="28.8" x14ac:dyDescent="0.3">
      <c r="A19" s="3" t="s">
        <v>53</v>
      </c>
      <c r="B19" s="4">
        <v>-45.347666699999998</v>
      </c>
      <c r="C19" s="4">
        <v>167.047666666666</v>
      </c>
      <c r="D19" s="12">
        <v>17.5</v>
      </c>
      <c r="E19" s="3" t="s">
        <v>51</v>
      </c>
      <c r="F19" s="1" t="s">
        <v>33</v>
      </c>
      <c r="G19" s="1" t="s">
        <v>34</v>
      </c>
      <c r="H19" s="1" t="s">
        <v>92</v>
      </c>
      <c r="I19" s="1">
        <v>13.6</v>
      </c>
      <c r="J19" s="1">
        <v>2.2999999999999998</v>
      </c>
      <c r="K19" s="4">
        <v>34.700000000000003</v>
      </c>
      <c r="L19" s="4"/>
      <c r="M19" s="4">
        <f>K19*0.45-15.29</f>
        <v>0.32500000000000284</v>
      </c>
      <c r="N19" s="2">
        <v>0.08</v>
      </c>
      <c r="O19" s="1" t="s">
        <v>52</v>
      </c>
      <c r="P19" s="2">
        <v>0.52</v>
      </c>
      <c r="Q19" s="1">
        <v>0.02</v>
      </c>
      <c r="R19" s="2">
        <v>0.47</v>
      </c>
      <c r="S19" s="1">
        <v>0.03</v>
      </c>
      <c r="T19" s="8">
        <v>0.66390000000000005</v>
      </c>
      <c r="U19" s="8">
        <v>8.6E-3</v>
      </c>
      <c r="V19" s="1" t="s">
        <v>36</v>
      </c>
      <c r="W19" s="2">
        <f t="shared" si="2"/>
        <v>0.42499999999999716</v>
      </c>
      <c r="X19" s="2">
        <f t="shared" si="3"/>
        <v>0.11</v>
      </c>
      <c r="Y19" s="9">
        <f>SQRT((39100)/(T19-0.154))-273.15</f>
        <v>3.764611919572701</v>
      </c>
      <c r="Z19" s="9">
        <f>U19*((39100/((T19-0.154)^2))/(2*(Y19+273.15)))</f>
        <v>2.3352281452327182</v>
      </c>
      <c r="AA19" s="2">
        <f>(((EXP((17570/(273.15+Tableau4[[#This Row],[MAT (°C)]])-29.13)/1000)*(1000+Tableau4[[#This Row],[d18Osw_L.S (‰VSMOW)]]))-1000)-30.92)/1.03092</f>
        <v>2.0182594815619392</v>
      </c>
      <c r="AB19" s="2">
        <f>Tableau4[[#This Row],[d18Oc eq]]-(((EXP((17570/(273.15+Tableau4[[#This Row],[MAT (°C)]]+Tableau4[[#This Row],[T-var (°C)]])-29.13)/1000)*(1000+Tableau4[[#This Row],[d18Osw_L.S (‰VSMOW)]]-Tableau4[[#This Row],[d18Osw_L.S_E (‰VSMOW)]]))-1000)-30.92)/1.03092</f>
        <v>0.5685158236507557</v>
      </c>
      <c r="AC19" s="2">
        <f>Tableau4[[#This Row],[d18O (‰VPDB)]]-Tableau4[[#This Row],[d18Oc eq]]</f>
        <v>-1.5482594815619393</v>
      </c>
      <c r="AD19" s="2">
        <f>Tableau4[[#This Row],[d18Oc eq SD]]+Tableau4[[#This Row],[d18O_CI (‰VPDB)]]</f>
        <v>0.59851582365075573</v>
      </c>
      <c r="AE19" s="16">
        <f>0.0391*(1000000/((273.15+Tableau4[[#This Row],[MAT (°C)]])^2))+0.154</f>
        <v>0.62952122249087683</v>
      </c>
      <c r="AF19" s="16">
        <f>Tableau4[[#This Row],[D47 eq]]-(0.0391*(1000000/((273.15+Tableau4[[#This Row],[MAT (°C)]]+Tableau4[[#This Row],[T-var (°C)]])^2))+0.154)</f>
        <v>7.5374328030313187E-3</v>
      </c>
      <c r="AG19" s="16">
        <f>Tableau4[[#This Row],[D47 (‰ICDES)]]-Tableau4[[#This Row],[D47 eq]]</f>
        <v>3.4378777509123215E-2</v>
      </c>
      <c r="AH19" s="16">
        <f>Tableau4[[#This Row],[D47 eq SD]]+Tableau4[[#This Row],[D47_CI]]</f>
        <v>1.6137432803031319E-2</v>
      </c>
      <c r="AI19" s="6">
        <v>4.2790158540198551</v>
      </c>
      <c r="AJ19" s="6">
        <v>1.1322429555856157</v>
      </c>
      <c r="AK19" s="6">
        <v>38.385305080073337</v>
      </c>
      <c r="AL19" s="6">
        <v>10.096450581988023</v>
      </c>
    </row>
    <row r="20" spans="1:38" x14ac:dyDescent="0.3">
      <c r="A20" s="3" t="s">
        <v>54</v>
      </c>
      <c r="B20" s="4">
        <v>-45.325000000000003</v>
      </c>
      <c r="C20" s="4">
        <v>166.98999999999899</v>
      </c>
      <c r="D20" s="5">
        <v>25</v>
      </c>
      <c r="E20" s="1" t="s">
        <v>32</v>
      </c>
      <c r="F20" s="1" t="s">
        <v>33</v>
      </c>
      <c r="G20" s="1" t="s">
        <v>34</v>
      </c>
      <c r="H20" s="1" t="s">
        <v>92</v>
      </c>
      <c r="I20" s="1">
        <v>13.2</v>
      </c>
      <c r="J20" s="1">
        <v>2.5</v>
      </c>
      <c r="K20" s="4">
        <v>34.700000000000003</v>
      </c>
      <c r="L20" s="4"/>
      <c r="M20" s="4">
        <f>K20*0.45-15.29</f>
        <v>0.32500000000000284</v>
      </c>
      <c r="N20" s="2">
        <v>0.08</v>
      </c>
      <c r="O20" s="1" t="s">
        <v>52</v>
      </c>
      <c r="P20" s="2">
        <v>2.91</v>
      </c>
      <c r="Q20" s="1">
        <v>0.02</v>
      </c>
      <c r="R20" s="2">
        <v>1.55</v>
      </c>
      <c r="S20" s="1">
        <v>0.03</v>
      </c>
      <c r="T20" s="8">
        <v>0.62949999999999995</v>
      </c>
      <c r="U20" s="8">
        <v>8.6E-3</v>
      </c>
      <c r="V20" s="1" t="s">
        <v>36</v>
      </c>
      <c r="W20" s="2">
        <f t="shared" si="2"/>
        <v>1.5049999999999972</v>
      </c>
      <c r="X20" s="2">
        <f t="shared" si="3"/>
        <v>0.11</v>
      </c>
      <c r="Y20" s="9">
        <f>SQRT((39100)/(T20-0.154))-273.15</f>
        <v>13.606399034025287</v>
      </c>
      <c r="Z20" s="9">
        <f>U20*((39100/((T20-0.154)^2))/(2*(Y20+273.15)))</f>
        <v>2.5931703803287247</v>
      </c>
      <c r="AA20" s="2">
        <f>(((EXP((17570/(273.15+Tableau4[[#This Row],[MAT (°C)]])-29.13)/1000)*(1000+Tableau4[[#This Row],[d18Osw_L.S (‰VSMOW)]]))-1000)-30.92)/1.03092</f>
        <v>2.1040274968734232</v>
      </c>
      <c r="AB20" s="2">
        <f>Tableau4[[#This Row],[d18Oc eq]]-(((EXP((17570/(273.15+Tableau4[[#This Row],[MAT (°C)]]+Tableau4[[#This Row],[T-var (°C)]])-29.13)/1000)*(1000+Tableau4[[#This Row],[d18Osw_L.S (‰VSMOW)]]-Tableau4[[#This Row],[d18Osw_L.S_E (‰VSMOW)]]))-1000)-30.92)/1.03092</f>
        <v>0.61213411734941148</v>
      </c>
      <c r="AC20" s="2">
        <f>Tableau4[[#This Row],[d18O (‰VPDB)]]-Tableau4[[#This Row],[d18Oc eq]]</f>
        <v>-0.55402749687342312</v>
      </c>
      <c r="AD20" s="2">
        <f>Tableau4[[#This Row],[d18Oc eq SD]]+Tableau4[[#This Row],[d18O_CI (‰VPDB)]]</f>
        <v>0.6421341173494115</v>
      </c>
      <c r="AE20" s="16">
        <f>0.0391*(1000000/((273.15+Tableau4[[#This Row],[MAT (°C)]])^2))+0.154</f>
        <v>0.63085065388145933</v>
      </c>
      <c r="AF20" s="16">
        <f>Tableau4[[#This Row],[D47 eq]]-(0.0391*(1000000/((273.15+Tableau4[[#This Row],[MAT (°C)]]+Tableau4[[#This Row],[T-var (°C)]])^2))+0.154)</f>
        <v>8.2185750388462653E-3</v>
      </c>
      <c r="AG20" s="16">
        <f>Tableau4[[#This Row],[D47 (‰ICDES)]]-Tableau4[[#This Row],[D47 eq]]</f>
        <v>-1.3506538814593849E-3</v>
      </c>
      <c r="AH20" s="16">
        <f>Tableau4[[#This Row],[D47 eq SD]]+Tableau4[[#This Row],[D47_CI]]</f>
        <v>1.6818575038846265E-2</v>
      </c>
      <c r="AI20" s="2">
        <v>11.144169634163919</v>
      </c>
      <c r="AJ20" s="2">
        <v>0.82091776471264877</v>
      </c>
      <c r="AK20" s="2">
        <v>15.915008076056314</v>
      </c>
      <c r="AL20" s="2">
        <v>6.2452812419326165</v>
      </c>
    </row>
    <row r="21" spans="1:38" ht="28.8" x14ac:dyDescent="0.3">
      <c r="A21" s="3" t="s">
        <v>55</v>
      </c>
      <c r="B21" s="4">
        <v>-45.36</v>
      </c>
      <c r="C21" s="4">
        <v>170.84</v>
      </c>
      <c r="D21" s="5">
        <v>20</v>
      </c>
      <c r="E21" s="3" t="s">
        <v>56</v>
      </c>
      <c r="F21" s="1" t="s">
        <v>33</v>
      </c>
      <c r="G21" s="1" t="s">
        <v>34</v>
      </c>
      <c r="H21" s="1" t="s">
        <v>92</v>
      </c>
      <c r="I21" s="1">
        <v>10.4</v>
      </c>
      <c r="J21" s="1">
        <v>2</v>
      </c>
      <c r="K21" s="4">
        <v>34.340000000000003</v>
      </c>
      <c r="L21" s="4">
        <v>0.06</v>
      </c>
      <c r="M21" s="4">
        <f>K21*0.45-15.29</f>
        <v>0.16300000000000203</v>
      </c>
      <c r="N21" s="2">
        <v>0.08</v>
      </c>
      <c r="O21" s="1" t="s">
        <v>52</v>
      </c>
      <c r="P21" s="2">
        <v>2.1</v>
      </c>
      <c r="Q21" s="1">
        <v>0.02</v>
      </c>
      <c r="R21" s="2">
        <v>1.25</v>
      </c>
      <c r="S21" s="1">
        <v>0.03</v>
      </c>
      <c r="T21" s="8">
        <v>0.65</v>
      </c>
      <c r="U21" s="8">
        <v>8.6E-3</v>
      </c>
      <c r="V21" s="1" t="s">
        <v>36</v>
      </c>
      <c r="W21" s="2">
        <f t="shared" si="2"/>
        <v>1.366999999999998</v>
      </c>
      <c r="X21" s="2">
        <f t="shared" si="3"/>
        <v>0.11</v>
      </c>
      <c r="Y21" s="9">
        <f>SQRT((39100)/(T21-0.154))-273.15</f>
        <v>7.6179560799101296</v>
      </c>
      <c r="Z21" s="9">
        <f>U21*((39100/((T21-0.154)^2))/(2*(Y21+273.15)))</f>
        <v>2.4340770385959947</v>
      </c>
      <c r="AA21" s="2">
        <f>(((EXP((17570/(273.15+Tableau4[[#This Row],[MAT (°C)]])-29.13)/1000)*(1000+Tableau4[[#This Row],[d18Osw_L.S (‰VSMOW)]]))-1000)-30.92)/1.03092</f>
        <v>2.5490026380923796</v>
      </c>
      <c r="AB21" s="2">
        <f>Tableau4[[#This Row],[d18Oc eq]]-(((EXP((17570/(273.15+Tableau4[[#This Row],[MAT (°C)]]+Tableau4[[#This Row],[T-var (°C)]])-29.13)/1000)*(1000+Tableau4[[#This Row],[d18Osw_L.S (‰VSMOW)]]-Tableau4[[#This Row],[d18Osw_L.S_E (‰VSMOW)]]))-1000)-30.92)/1.03092</f>
        <v>0.51516812837829562</v>
      </c>
      <c r="AC21" s="2">
        <f>Tableau4[[#This Row],[d18O (‰VPDB)]]-Tableau4[[#This Row],[d18Oc eq]]</f>
        <v>-1.2990026380923796</v>
      </c>
      <c r="AD21" s="2">
        <f>Tableau4[[#This Row],[d18Oc eq SD]]+Tableau4[[#This Row],[d18O_CI (‰VPDB)]]</f>
        <v>0.54516812837829565</v>
      </c>
      <c r="AE21" s="16">
        <f>0.0391*(1000000/((273.15+Tableau4[[#This Row],[MAT (°C)]])^2))+0.154</f>
        <v>0.64031476362381745</v>
      </c>
      <c r="AF21" s="16">
        <f>Tableau4[[#This Row],[D47 eq]]-(0.0391*(1000000/((273.15+Tableau4[[#This Row],[MAT (°C)]]+Tableau4[[#This Row],[T-var (°C)]])^2))+0.154)</f>
        <v>6.7884669259965502E-3</v>
      </c>
      <c r="AG21" s="16">
        <f>Tableau4[[#This Row],[D47 (‰ICDES)]]-Tableau4[[#This Row],[D47 eq]]</f>
        <v>9.685236376182571E-3</v>
      </c>
      <c r="AH21" s="16">
        <f>Tableau4[[#This Row],[D47 eq SD]]+Tableau4[[#This Row],[D47_CI]]</f>
        <v>1.538846692599655E-2</v>
      </c>
      <c r="AI21" s="2">
        <v>11.476643355265887</v>
      </c>
      <c r="AJ21" s="2">
        <v>1.2441275818109356</v>
      </c>
      <c r="AK21" s="2">
        <v>46.676758587671216</v>
      </c>
      <c r="AL21" s="2">
        <v>12.688900869452603</v>
      </c>
    </row>
    <row r="22" spans="1:38" x14ac:dyDescent="0.3">
      <c r="A22" s="1" t="s">
        <v>57</v>
      </c>
      <c r="B22" s="1">
        <v>-22.98</v>
      </c>
      <c r="C22" s="1">
        <v>167.32</v>
      </c>
      <c r="D22" s="1">
        <v>525</v>
      </c>
      <c r="E22" s="1" t="s">
        <v>32</v>
      </c>
      <c r="F22" s="1" t="s">
        <v>33</v>
      </c>
      <c r="G22" s="1" t="s">
        <v>34</v>
      </c>
      <c r="H22" s="1" t="s">
        <v>92</v>
      </c>
      <c r="I22" s="1">
        <v>10</v>
      </c>
      <c r="J22" s="1">
        <v>0.9</v>
      </c>
      <c r="K22" s="1">
        <v>34.76</v>
      </c>
      <c r="L22" s="1">
        <v>0.01</v>
      </c>
      <c r="M22" s="2">
        <f>K22*0.27-8.88</f>
        <v>0.50519999999999854</v>
      </c>
      <c r="N22" s="2">
        <v>7.8E-2</v>
      </c>
      <c r="O22" s="1" t="s">
        <v>45</v>
      </c>
      <c r="P22" s="6">
        <v>2.72</v>
      </c>
      <c r="Q22" s="7">
        <v>0.01</v>
      </c>
      <c r="R22" s="6">
        <v>2.04</v>
      </c>
      <c r="S22" s="1">
        <v>0.02</v>
      </c>
      <c r="T22" s="8">
        <v>0.63870000000000005</v>
      </c>
      <c r="U22" s="8">
        <v>1.09E-2</v>
      </c>
      <c r="V22" s="1" t="s">
        <v>36</v>
      </c>
      <c r="W22" s="2">
        <f t="shared" si="2"/>
        <v>1.8148000000000015</v>
      </c>
      <c r="X22" s="2">
        <f t="shared" si="3"/>
        <v>9.8000000000000004E-2</v>
      </c>
      <c r="Y22" s="9">
        <f>SQRT((39100)/(T22-0.154))-273.15</f>
        <v>10.871926467405444</v>
      </c>
      <c r="Z22" s="9">
        <f>U22*((39100/((T22-0.154)^2))/(2*(Y22+273.15)))</f>
        <v>3.1935619955588184</v>
      </c>
      <c r="AA22" s="2">
        <f>(((EXP((17570/(273.15+Tableau4[[#This Row],[MAT (°C)]])-29.13)/1000)*(1000+Tableau4[[#This Row],[d18Osw_L.S (‰VSMOW)]]))-1000)-30.92)/1.03092</f>
        <v>2.9798117584229438</v>
      </c>
      <c r="AB22" s="2">
        <f>Tableau4[[#This Row],[d18Oc eq]]-(((EXP((17570/(273.15+Tableau4[[#This Row],[MAT (°C)]]+Tableau4[[#This Row],[T-var (°C)]])-29.13)/1000)*(1000+Tableau4[[#This Row],[d18Osw_L.S (‰VSMOW)]]-Tableau4[[#This Row],[d18Osw_L.S_E (‰VSMOW)]]))-1000)-30.92)/1.03092</f>
        <v>0.27535280505923598</v>
      </c>
      <c r="AC22" s="2">
        <f>Tableau4[[#This Row],[d18O (‰VPDB)]]-Tableau4[[#This Row],[d18Oc eq]]</f>
        <v>-0.93981175842294373</v>
      </c>
      <c r="AD22" s="2">
        <f>Tableau4[[#This Row],[d18Oc eq SD]]+Tableau4[[#This Row],[d18O_CI (‰VPDB)]]</f>
        <v>0.295352805059236</v>
      </c>
      <c r="AE22" s="16">
        <f>0.0391*(1000000/((273.15+Tableau4[[#This Row],[MAT (°C)]])^2))+0.154</f>
        <v>0.64168974724917582</v>
      </c>
      <c r="AF22" s="16">
        <f>Tableau4[[#This Row],[D47 eq]]-(0.0391*(1000000/((273.15+Tableau4[[#This Row],[MAT (°C)]]+Tableau4[[#This Row],[T-var (°C)]])^2))+0.154)</f>
        <v>3.0855512894918391E-3</v>
      </c>
      <c r="AG22" s="16">
        <f>Tableau4[[#This Row],[D47 (‰ICDES)]]-Tableau4[[#This Row],[D47 eq]]</f>
        <v>-2.9897472491757782E-3</v>
      </c>
      <c r="AH22" s="16">
        <f>Tableau4[[#This Row],[D47 eq SD]]+Tableau4[[#This Row],[D47_CI]]</f>
        <v>1.3985551289491839E-2</v>
      </c>
      <c r="AI22" s="8"/>
      <c r="AJ22" s="8"/>
      <c r="AK22" s="8"/>
      <c r="AL22" s="8"/>
    </row>
    <row r="23" spans="1:38" x14ac:dyDescent="0.3">
      <c r="A23" s="1" t="s">
        <v>58</v>
      </c>
      <c r="B23" s="1">
        <v>-22.98</v>
      </c>
      <c r="C23" s="1">
        <v>167.32</v>
      </c>
      <c r="D23" s="1">
        <v>525</v>
      </c>
      <c r="E23" s="1" t="s">
        <v>32</v>
      </c>
      <c r="F23" s="1" t="s">
        <v>33</v>
      </c>
      <c r="G23" s="1" t="s">
        <v>34</v>
      </c>
      <c r="H23" s="1" t="s">
        <v>92</v>
      </c>
      <c r="I23" s="1">
        <v>10</v>
      </c>
      <c r="J23" s="1">
        <v>0.9</v>
      </c>
      <c r="K23" s="1">
        <v>34.76</v>
      </c>
      <c r="L23" s="1">
        <v>0.01</v>
      </c>
      <c r="M23" s="2">
        <f>K23*0.27-8.88</f>
        <v>0.50519999999999854</v>
      </c>
      <c r="N23" s="2">
        <v>7.8E-2</v>
      </c>
      <c r="O23" s="1" t="s">
        <v>45</v>
      </c>
      <c r="P23" s="6">
        <v>3.1669999999999998</v>
      </c>
      <c r="Q23" s="7">
        <v>0.05</v>
      </c>
      <c r="R23" s="6">
        <v>2.1269999999999998</v>
      </c>
      <c r="S23" s="1">
        <v>0.1</v>
      </c>
      <c r="T23" s="8"/>
      <c r="U23" s="8"/>
      <c r="V23" s="1" t="s">
        <v>39</v>
      </c>
      <c r="W23" s="2">
        <f t="shared" si="2"/>
        <v>1.9018000000000013</v>
      </c>
      <c r="X23" s="2">
        <f t="shared" si="3"/>
        <v>0.17799999999999999</v>
      </c>
      <c r="Y23" s="8"/>
      <c r="Z23" s="8"/>
      <c r="AA23" s="8">
        <f>(((EXP((17570/(273.15+Tableau4[[#This Row],[MAT (°C)]])-29.13)/1000)*(1000+Tableau4[[#This Row],[d18Osw_L.S (‰VSMOW)]]))-1000)-30.92)/1.03092</f>
        <v>2.9798117584229438</v>
      </c>
      <c r="AB23" s="8">
        <f>Tableau4[[#This Row],[d18Oc eq]]-(((EXP((17570/(273.15+Tableau4[[#This Row],[MAT (°C)]]+Tableau4[[#This Row],[T-var (°C)]])-29.13)/1000)*(1000+Tableau4[[#This Row],[d18Osw_L.S (‰VSMOW)]]-Tableau4[[#This Row],[d18Osw_L.S_E (‰VSMOW)]]))-1000)-30.92)/1.03092</f>
        <v>0.27535280505923598</v>
      </c>
      <c r="AC23" s="8">
        <f>Tableau4[[#This Row],[d18O (‰VPDB)]]-Tableau4[[#This Row],[d18Oc eq]]</f>
        <v>-0.85281175842294399</v>
      </c>
      <c r="AD23" s="8">
        <f>Tableau4[[#This Row],[d18Oc eq SD]]+Tableau4[[#This Row],[d18O_CI (‰VPDB)]]</f>
        <v>0.37535280505923596</v>
      </c>
      <c r="AE23" s="16"/>
      <c r="AF23" s="16"/>
      <c r="AG23" s="16"/>
      <c r="AH23" s="16"/>
      <c r="AI23" s="2">
        <v>3.7632323243803971</v>
      </c>
      <c r="AJ23" s="2">
        <v>0.44897243613531596</v>
      </c>
      <c r="AK23" s="2">
        <v>4.0871012564753038</v>
      </c>
      <c r="AL23" s="2">
        <v>1.8590873068130433</v>
      </c>
    </row>
    <row r="24" spans="1:38" ht="28.8" x14ac:dyDescent="0.3">
      <c r="A24" s="3" t="s">
        <v>59</v>
      </c>
      <c r="B24" s="2">
        <v>63.866666700000003</v>
      </c>
      <c r="C24" s="2">
        <v>11.066666666666601</v>
      </c>
      <c r="D24" s="12">
        <v>70</v>
      </c>
      <c r="E24" s="3" t="s">
        <v>51</v>
      </c>
      <c r="F24" s="1" t="s">
        <v>33</v>
      </c>
      <c r="G24" s="1" t="s">
        <v>34</v>
      </c>
      <c r="H24" s="1" t="s">
        <v>92</v>
      </c>
      <c r="I24" s="1">
        <v>7</v>
      </c>
      <c r="J24" s="1">
        <v>1</v>
      </c>
      <c r="K24" s="1">
        <v>33.5</v>
      </c>
      <c r="L24" s="1">
        <v>0.5</v>
      </c>
      <c r="M24" s="2">
        <f>K24*0.55-18.98</f>
        <v>-0.55499999999999972</v>
      </c>
      <c r="N24" s="2">
        <v>0.193</v>
      </c>
      <c r="O24" s="1" t="s">
        <v>60</v>
      </c>
      <c r="P24" s="2">
        <v>0.23731102677451155</v>
      </c>
      <c r="Q24" s="7">
        <v>0.05</v>
      </c>
      <c r="R24" s="2">
        <v>1.2776593540524139</v>
      </c>
      <c r="S24" s="1">
        <v>0.1</v>
      </c>
      <c r="T24" s="8"/>
      <c r="U24" s="8"/>
      <c r="V24" s="1" t="s">
        <v>39</v>
      </c>
      <c r="W24" s="2">
        <f t="shared" si="2"/>
        <v>2.1126593540524139</v>
      </c>
      <c r="X24" s="2">
        <f t="shared" si="3"/>
        <v>0.29300000000000004</v>
      </c>
      <c r="Y24" s="8"/>
      <c r="Z24" s="8"/>
      <c r="AA24" s="8">
        <f>(((EXP((17570/(273.15+Tableau4[[#This Row],[MAT (°C)]])-29.13)/1000)*(1000+Tableau4[[#This Row],[d18Osw_L.S (‰VSMOW)]]))-1000)-30.92)/1.03092</f>
        <v>2.5829705374058336</v>
      </c>
      <c r="AB24" s="8">
        <f>Tableau4[[#This Row],[d18Oc eq]]-(((EXP((17570/(273.15+Tableau4[[#This Row],[MAT (°C)]]+Tableau4[[#This Row],[T-var (°C)]])-29.13)/1000)*(1000+Tableau4[[#This Row],[d18Osw_L.S (‰VSMOW)]]-Tableau4[[#This Row],[d18Osw_L.S_E (‰VSMOW)]]))-1000)-30.92)/1.03092</f>
        <v>0.41718498998331155</v>
      </c>
      <c r="AC24" s="8">
        <f>Tableau4[[#This Row],[d18O (‰VPDB)]]-Tableau4[[#This Row],[d18Oc eq]]</f>
        <v>-1.3053111833534197</v>
      </c>
      <c r="AD24" s="8">
        <f>Tableau4[[#This Row],[d18Oc eq SD]]+Tableau4[[#This Row],[d18O_CI (‰VPDB)]]</f>
        <v>0.51718498998331153</v>
      </c>
      <c r="AE24" s="16"/>
      <c r="AF24" s="16"/>
      <c r="AG24" s="16"/>
      <c r="AH24" s="16"/>
      <c r="AI24" s="2">
        <v>7.281237735060837</v>
      </c>
      <c r="AJ24" s="2">
        <v>1.2421421879896317</v>
      </c>
      <c r="AK24" s="2">
        <v>53.144931845115451</v>
      </c>
      <c r="AL24" s="2">
        <v>13.309173703583301</v>
      </c>
    </row>
    <row r="25" spans="1:38" ht="28.8" x14ac:dyDescent="0.3">
      <c r="A25" s="3" t="s">
        <v>61</v>
      </c>
      <c r="B25" s="2">
        <v>-45.856666699999998</v>
      </c>
      <c r="C25" s="2">
        <v>50.733333333333299</v>
      </c>
      <c r="D25" s="12">
        <v>140</v>
      </c>
      <c r="E25" s="3" t="s">
        <v>51</v>
      </c>
      <c r="F25" s="1" t="s">
        <v>33</v>
      </c>
      <c r="G25" s="1" t="s">
        <v>34</v>
      </c>
      <c r="H25" s="1" t="s">
        <v>92</v>
      </c>
      <c r="I25" s="13">
        <v>4.2</v>
      </c>
      <c r="J25" s="13">
        <v>0.6</v>
      </c>
      <c r="K25" s="4">
        <v>33.899000000000001</v>
      </c>
      <c r="L25" s="4">
        <v>0.01</v>
      </c>
      <c r="M25" s="4">
        <f t="shared" ref="M25:M36" si="4">K25*0.24-8.45</f>
        <v>-0.31423999999999985</v>
      </c>
      <c r="N25" s="2">
        <v>0.13200000000000001</v>
      </c>
      <c r="O25" s="1" t="s">
        <v>62</v>
      </c>
      <c r="P25" s="2">
        <v>0.5440439385460536</v>
      </c>
      <c r="Q25" s="1">
        <v>0.05</v>
      </c>
      <c r="R25" s="2">
        <v>1.3306923909936543</v>
      </c>
      <c r="S25" s="1">
        <v>0.1</v>
      </c>
      <c r="T25" s="8"/>
      <c r="U25" s="8"/>
      <c r="V25" s="1" t="s">
        <v>39</v>
      </c>
      <c r="W25" s="2">
        <f t="shared" si="2"/>
        <v>1.9249323909936542</v>
      </c>
      <c r="X25" s="2">
        <f t="shared" si="3"/>
        <v>0.23200000000000001</v>
      </c>
      <c r="Y25" s="8"/>
      <c r="Z25" s="8"/>
      <c r="AA25" s="8">
        <f>(((EXP((17570/(273.15+Tableau4[[#This Row],[MAT (°C)]])-29.13)/1000)*(1000+Tableau4[[#This Row],[d18Osw_L.S (‰VSMOW)]]))-1000)-30.92)/1.03092</f>
        <v>3.4596322407427689</v>
      </c>
      <c r="AB25" s="8">
        <f>Tableau4[[#This Row],[d18Oc eq]]-(((EXP((17570/(273.15+Tableau4[[#This Row],[MAT (°C)]]+Tableau4[[#This Row],[T-var (°C)]])-29.13)/1000)*(1000+Tableau4[[#This Row],[d18Osw_L.S (‰VSMOW)]]-Tableau4[[#This Row],[d18Osw_L.S_E (‰VSMOW)]]))-1000)-30.92)/1.03092</f>
        <v>0.269694173967161</v>
      </c>
      <c r="AC25" s="8">
        <f>Tableau4[[#This Row],[d18O (‰VPDB)]]-Tableau4[[#This Row],[d18Oc eq]]</f>
        <v>-2.1289398497491145</v>
      </c>
      <c r="AD25" s="8">
        <f>Tableau4[[#This Row],[d18Oc eq SD]]+Tableau4[[#This Row],[d18O_CI (‰VPDB)]]</f>
        <v>0.36969417396716098</v>
      </c>
      <c r="AE25" s="16"/>
      <c r="AF25" s="16"/>
      <c r="AG25" s="16"/>
      <c r="AH25" s="16"/>
      <c r="AI25" s="8"/>
      <c r="AJ25" s="8"/>
      <c r="AK25" s="8"/>
      <c r="AL25" s="8"/>
    </row>
    <row r="26" spans="1:38" ht="28.8" x14ac:dyDescent="0.3">
      <c r="A26" s="3" t="s">
        <v>63</v>
      </c>
      <c r="B26" s="2">
        <v>-46.466666699999998</v>
      </c>
      <c r="C26" s="2">
        <v>51.886666666666599</v>
      </c>
      <c r="D26" s="12">
        <v>105</v>
      </c>
      <c r="E26" s="3" t="s">
        <v>51</v>
      </c>
      <c r="F26" s="1" t="s">
        <v>33</v>
      </c>
      <c r="G26" s="1" t="s">
        <v>34</v>
      </c>
      <c r="H26" s="1" t="s">
        <v>92</v>
      </c>
      <c r="I26" s="13">
        <v>4.0999999999999996</v>
      </c>
      <c r="J26" s="13">
        <v>1.2</v>
      </c>
      <c r="K26" s="4">
        <v>33.847999999999999</v>
      </c>
      <c r="L26" s="4">
        <v>0.01</v>
      </c>
      <c r="M26" s="4">
        <f t="shared" si="4"/>
        <v>-0.3264800000000001</v>
      </c>
      <c r="N26" s="2">
        <v>0.13200000000000001</v>
      </c>
      <c r="O26" s="1" t="s">
        <v>62</v>
      </c>
      <c r="P26" s="2">
        <v>1.4776187957007831</v>
      </c>
      <c r="Q26" s="1">
        <v>0.05</v>
      </c>
      <c r="R26" s="2">
        <v>2.0869032908328222</v>
      </c>
      <c r="S26" s="1">
        <v>0.1</v>
      </c>
      <c r="T26" s="8"/>
      <c r="U26" s="8"/>
      <c r="V26" s="1" t="s">
        <v>39</v>
      </c>
      <c r="W26" s="2">
        <f t="shared" si="2"/>
        <v>2.6933832908328226</v>
      </c>
      <c r="X26" s="2">
        <f t="shared" si="3"/>
        <v>0.23200000000000001</v>
      </c>
      <c r="Y26" s="8"/>
      <c r="Z26" s="8"/>
      <c r="AA26" s="8">
        <f>(((EXP((17570/(273.15+Tableau4[[#This Row],[MAT (°C)]])-29.13)/1000)*(1000+Tableau4[[#This Row],[d18Osw_L.S (‰VSMOW)]]))-1000)-30.92)/1.03092</f>
        <v>3.4702743198386896</v>
      </c>
      <c r="AB26" s="8">
        <f>Tableau4[[#This Row],[d18Oc eq]]-(((EXP((17570/(273.15+Tableau4[[#This Row],[MAT (°C)]]+Tableau4[[#This Row],[T-var (°C)]])-29.13)/1000)*(1000+Tableau4[[#This Row],[d18Osw_L.S (‰VSMOW)]]-Tableau4[[#This Row],[d18Osw_L.S_E (‰VSMOW)]]))-1000)-30.92)/1.03092</f>
        <v>0.40648337197182549</v>
      </c>
      <c r="AC26" s="8">
        <f>Tableau4[[#This Row],[d18O (‰VPDB)]]-Tableau4[[#This Row],[d18Oc eq]]</f>
        <v>-1.3833710290058674</v>
      </c>
      <c r="AD26" s="8">
        <f>Tableau4[[#This Row],[d18Oc eq SD]]+Tableau4[[#This Row],[d18O_CI (‰VPDB)]]</f>
        <v>0.50648337197182547</v>
      </c>
      <c r="AE26" s="16"/>
      <c r="AF26" s="16"/>
      <c r="AG26" s="16"/>
      <c r="AH26" s="16"/>
      <c r="AI26" s="2">
        <v>4.9382435263838493</v>
      </c>
      <c r="AJ26" s="2">
        <v>1.0584199838582089</v>
      </c>
      <c r="AK26" s="2">
        <v>48.802396624096204</v>
      </c>
      <c r="AL26" s="2">
        <v>10.919120141680176</v>
      </c>
    </row>
    <row r="27" spans="1:38" ht="28.8" x14ac:dyDescent="0.3">
      <c r="A27" s="3" t="s">
        <v>63</v>
      </c>
      <c r="B27" s="2">
        <v>-46.466666699999998</v>
      </c>
      <c r="C27" s="2">
        <v>51.886666666666599</v>
      </c>
      <c r="D27" s="12">
        <v>105</v>
      </c>
      <c r="E27" s="3" t="s">
        <v>51</v>
      </c>
      <c r="F27" s="1" t="s">
        <v>33</v>
      </c>
      <c r="G27" s="1" t="s">
        <v>34</v>
      </c>
      <c r="H27" s="1" t="s">
        <v>92</v>
      </c>
      <c r="I27" s="13">
        <v>4.0999999999999996</v>
      </c>
      <c r="J27" s="13">
        <v>1.2</v>
      </c>
      <c r="K27" s="4">
        <v>33.847999999999999</v>
      </c>
      <c r="L27" s="4">
        <v>0.01</v>
      </c>
      <c r="M27" s="4">
        <f t="shared" si="4"/>
        <v>-0.3264800000000001</v>
      </c>
      <c r="N27" s="2">
        <v>0.13200000000000001</v>
      </c>
      <c r="O27" s="1" t="s">
        <v>62</v>
      </c>
      <c r="P27" s="2">
        <v>1.36</v>
      </c>
      <c r="Q27" s="1">
        <v>0.02</v>
      </c>
      <c r="R27" s="2">
        <v>2.2599999999999998</v>
      </c>
      <c r="S27" s="1">
        <v>0.03</v>
      </c>
      <c r="T27" s="8">
        <v>0.68689999999999996</v>
      </c>
      <c r="U27" s="1">
        <v>1.01E-2</v>
      </c>
      <c r="V27" s="1" t="s">
        <v>36</v>
      </c>
      <c r="W27" s="2">
        <f t="shared" si="2"/>
        <v>2.8664800000000001</v>
      </c>
      <c r="X27" s="2">
        <f t="shared" si="3"/>
        <v>0.16200000000000001</v>
      </c>
      <c r="Y27" s="9">
        <f>SQRT((39100)/(T27-0.154))-273.15</f>
        <v>-2.2771242015726898</v>
      </c>
      <c r="Z27" s="9">
        <f>U27*((39100/((T27-0.154)^2))/(2*(Y27+273.15)))</f>
        <v>2.5669131596585806</v>
      </c>
      <c r="AA27" s="2">
        <f>(((EXP((17570/(273.15+Tableau4[[#This Row],[MAT (°C)]])-29.13)/1000)*(1000+Tableau4[[#This Row],[d18Osw_L.S (‰VSMOW)]]))-1000)-30.92)/1.03092</f>
        <v>3.4702743198386896</v>
      </c>
      <c r="AB27" s="2">
        <f>Tableau4[[#This Row],[d18Oc eq]]-(((EXP((17570/(273.15+Tableau4[[#This Row],[MAT (°C)]]+Tableau4[[#This Row],[T-var (°C)]])-29.13)/1000)*(1000+Tableau4[[#This Row],[d18Osw_L.S (‰VSMOW)]]-Tableau4[[#This Row],[d18Osw_L.S_E (‰VSMOW)]]))-1000)-30.92)/1.03092</f>
        <v>0.40648337197182549</v>
      </c>
      <c r="AC27" s="2">
        <f>Tableau4[[#This Row],[d18O (‰VPDB)]]-Tableau4[[#This Row],[d18Oc eq]]</f>
        <v>-1.2102743198386898</v>
      </c>
      <c r="AD27" s="2">
        <f>Tableau4[[#This Row],[d18Oc eq SD]]+Tableau4[[#This Row],[d18O_CI (‰VPDB)]]</f>
        <v>0.43648337197182552</v>
      </c>
      <c r="AE27" s="16">
        <f>0.0391*(1000000/((273.15+Tableau4[[#This Row],[MAT (°C)]])^2))+0.154</f>
        <v>0.66266709868678353</v>
      </c>
      <c r="AF27" s="16">
        <f>Tableau4[[#This Row],[D47 eq]]-(0.0391*(1000000/((273.15+Tableau4[[#This Row],[MAT (°C)]]+Tableau4[[#This Row],[T-var (°C)]])^2))+0.154)</f>
        <v>4.3748266208447628E-3</v>
      </c>
      <c r="AG27" s="16">
        <f>Tableau4[[#This Row],[D47 (‰ICDES)]]-Tableau4[[#This Row],[D47 eq]]</f>
        <v>2.4232901313216426E-2</v>
      </c>
      <c r="AH27" s="16">
        <f>Tableau4[[#This Row],[D47 eq SD]]+Tableau4[[#This Row],[D47_CI]]</f>
        <v>1.4474826620844762E-2</v>
      </c>
      <c r="AI27" s="2">
        <v>4.9382435263838493</v>
      </c>
      <c r="AJ27" s="2">
        <v>1.0584199838582089</v>
      </c>
      <c r="AK27" s="2">
        <v>48.802396624096204</v>
      </c>
      <c r="AL27" s="2">
        <v>10.919120141680176</v>
      </c>
    </row>
    <row r="28" spans="1:38" ht="28.8" x14ac:dyDescent="0.3">
      <c r="A28" s="3" t="s">
        <v>64</v>
      </c>
      <c r="B28" s="4">
        <v>-45.96</v>
      </c>
      <c r="C28" s="4">
        <v>50.056666666666601</v>
      </c>
      <c r="D28" s="5">
        <v>200</v>
      </c>
      <c r="E28" s="3" t="s">
        <v>51</v>
      </c>
      <c r="F28" s="1" t="s">
        <v>33</v>
      </c>
      <c r="G28" s="1" t="s">
        <v>34</v>
      </c>
      <c r="H28" s="1" t="s">
        <v>92</v>
      </c>
      <c r="I28" s="13">
        <v>3.87</v>
      </c>
      <c r="J28" s="13">
        <v>0.6</v>
      </c>
      <c r="K28" s="4">
        <v>33.970999999999997</v>
      </c>
      <c r="L28" s="4">
        <v>0.02</v>
      </c>
      <c r="M28" s="4">
        <f t="shared" si="4"/>
        <v>-0.29696000000000033</v>
      </c>
      <c r="N28" s="2">
        <v>0.13200000000000001</v>
      </c>
      <c r="O28" s="1" t="s">
        <v>62</v>
      </c>
      <c r="P28" s="2">
        <v>2.5</v>
      </c>
      <c r="Q28" s="1">
        <v>0.02</v>
      </c>
      <c r="R28" s="2">
        <v>2.96</v>
      </c>
      <c r="S28" s="1">
        <v>0.03</v>
      </c>
      <c r="T28" s="8">
        <v>0.66639999999999999</v>
      </c>
      <c r="U28" s="8">
        <v>7.1000000000000004E-3</v>
      </c>
      <c r="V28" s="1" t="s">
        <v>36</v>
      </c>
      <c r="W28" s="2">
        <f t="shared" si="2"/>
        <v>3.5369600000000005</v>
      </c>
      <c r="X28" s="2">
        <f t="shared" si="3"/>
        <v>0.16200000000000001</v>
      </c>
      <c r="Y28" s="9">
        <f>SQRT((39100)/(T28-0.154))-273.15</f>
        <v>3.0882526175757334</v>
      </c>
      <c r="Z28" s="9">
        <f>U28*((39100/((T28-0.154)^2))/(2*(Y28+273.15)))</f>
        <v>1.9138286432326184</v>
      </c>
      <c r="AA28" s="2">
        <f>(((EXP((17570/(273.15+Tableau4[[#This Row],[MAT (°C)]])-29.13)/1000)*(1000+Tableau4[[#This Row],[d18Osw_L.S (‰VSMOW)]]))-1000)-30.92)/1.03092</f>
        <v>3.5527078660240519</v>
      </c>
      <c r="AB28" s="2">
        <f>Tableau4[[#This Row],[d18Oc eq]]-(((EXP((17570/(273.15+Tableau4[[#This Row],[MAT (°C)]]+Tableau4[[#This Row],[T-var (°C)]])-29.13)/1000)*(1000+Tableau4[[#This Row],[d18Osw_L.S (‰VSMOW)]]-Tableau4[[#This Row],[d18Osw_L.S_E (‰VSMOW)]]))-1000)-30.92)/1.03092</f>
        <v>0.27004361726618153</v>
      </c>
      <c r="AC28" s="2">
        <f>Tableau4[[#This Row],[d18O (‰VPDB)]]-Tableau4[[#This Row],[d18Oc eq]]</f>
        <v>-0.5927078660240519</v>
      </c>
      <c r="AD28" s="2">
        <f>Tableau4[[#This Row],[d18Oc eq SD]]+Tableau4[[#This Row],[d18O_CI (‰VPDB)]]</f>
        <v>0.30004361726618156</v>
      </c>
      <c r="AE28" s="16">
        <f>0.0391*(1000000/((273.15+Tableau4[[#This Row],[MAT (°C)]])^2))+0.154</f>
        <v>0.66351210627087132</v>
      </c>
      <c r="AF28" s="16">
        <f>Tableau4[[#This Row],[D47 eq]]-(0.0391*(1000000/((273.15+Tableau4[[#This Row],[MAT (°C)]]+Tableau4[[#This Row],[T-var (°C)]])^2))+0.154)</f>
        <v>2.1999633475832114E-3</v>
      </c>
      <c r="AG28" s="16">
        <f>Tableau4[[#This Row],[D47 (‰ICDES)]]-Tableau4[[#This Row],[D47 eq]]</f>
        <v>2.8878937291286766E-3</v>
      </c>
      <c r="AH28" s="16">
        <f>Tableau4[[#This Row],[D47 eq SD]]+Tableau4[[#This Row],[D47_CI]]</f>
        <v>9.2999633475832118E-3</v>
      </c>
      <c r="AI28" s="2">
        <v>5.125583415623896</v>
      </c>
      <c r="AJ28" s="2">
        <v>0.99621833390027859</v>
      </c>
      <c r="AK28" s="2">
        <v>41.096282704975721</v>
      </c>
      <c r="AL28" s="2">
        <v>9.1092443328532742</v>
      </c>
    </row>
    <row r="29" spans="1:38" ht="28.8" x14ac:dyDescent="0.3">
      <c r="A29" s="3" t="s">
        <v>65</v>
      </c>
      <c r="B29" s="4">
        <v>-46.1</v>
      </c>
      <c r="C29" s="4">
        <v>50.6383333333333</v>
      </c>
      <c r="D29" s="5">
        <f>(212+230)/2</f>
        <v>221</v>
      </c>
      <c r="E29" s="3" t="s">
        <v>51</v>
      </c>
      <c r="F29" s="1" t="s">
        <v>38</v>
      </c>
      <c r="G29" s="1" t="s">
        <v>34</v>
      </c>
      <c r="H29" s="1" t="s">
        <v>92</v>
      </c>
      <c r="I29" s="13">
        <v>3.67</v>
      </c>
      <c r="J29" s="13">
        <v>0.6</v>
      </c>
      <c r="K29" s="4">
        <v>34.005000000000003</v>
      </c>
      <c r="L29" s="4">
        <v>0.03</v>
      </c>
      <c r="M29" s="4">
        <f t="shared" si="4"/>
        <v>-0.28879999999999839</v>
      </c>
      <c r="N29" s="2">
        <v>0.13200000000000001</v>
      </c>
      <c r="O29" s="1" t="s">
        <v>62</v>
      </c>
      <c r="P29" s="2">
        <v>1.86</v>
      </c>
      <c r="Q29" s="1">
        <v>0.02</v>
      </c>
      <c r="R29" s="2">
        <v>2.79</v>
      </c>
      <c r="S29" s="1">
        <v>0.03</v>
      </c>
      <c r="T29" s="8">
        <v>0.67520000000000002</v>
      </c>
      <c r="U29" s="8">
        <v>7.1000000000000004E-3</v>
      </c>
      <c r="V29" s="1" t="s">
        <v>36</v>
      </c>
      <c r="W29" s="2">
        <f t="shared" si="2"/>
        <v>3.3587999999999987</v>
      </c>
      <c r="X29" s="2">
        <f t="shared" si="3"/>
        <v>0.16200000000000001</v>
      </c>
      <c r="Y29" s="9">
        <f>SQRT((39100)/(T29-0.154))-273.15</f>
        <v>0.74630609540747628</v>
      </c>
      <c r="Z29" s="9">
        <f>U29*((39100/((T29-0.154)^2))/(2*(Y29+273.15)))</f>
        <v>1.8655638653850661</v>
      </c>
      <c r="AA29" s="2">
        <f>(((EXP((17570/(273.15+Tableau4[[#This Row],[MAT (°C)]])-29.13)/1000)*(1000+Tableau4[[#This Row],[d18Osw_L.S (‰VSMOW)]]))-1000)-30.92)/1.03092</f>
        <v>3.6068875351421266</v>
      </c>
      <c r="AB29" s="2">
        <f>Tableau4[[#This Row],[d18Oc eq]]-(((EXP((17570/(273.15+Tableau4[[#This Row],[MAT (°C)]]+Tableau4[[#This Row],[T-var (°C)]])-29.13)/1000)*(1000+Tableau4[[#This Row],[d18Osw_L.S (‰VSMOW)]]-Tableau4[[#This Row],[d18Osw_L.S_E (‰VSMOW)]]))-1000)-30.92)/1.03092</f>
        <v>0.270255704759093</v>
      </c>
      <c r="AC29" s="2">
        <f>Tableau4[[#This Row],[d18O (‰VPDB)]]-Tableau4[[#This Row],[d18Oc eq]]</f>
        <v>-0.81688753514212653</v>
      </c>
      <c r="AD29" s="2">
        <f>Tableau4[[#This Row],[d18Oc eq SD]]+Tableau4[[#This Row],[d18O_CI (‰VPDB)]]</f>
        <v>0.30025570475909302</v>
      </c>
      <c r="AE29" s="16">
        <f>0.0391*(1000000/((273.15+Tableau4[[#This Row],[MAT (°C)]])^2))+0.154</f>
        <v>0.66424860820752984</v>
      </c>
      <c r="AF29" s="16">
        <f>Tableau4[[#This Row],[D47 eq]]-(0.0391*(1000000/((273.15+Tableau4[[#This Row],[MAT (°C)]]+Tableau4[[#This Row],[T-var (°C)]])^2))+0.154)</f>
        <v>2.2047299935942233E-3</v>
      </c>
      <c r="AG29" s="16">
        <f>Tableau4[[#This Row],[D47 (‰ICDES)]]-Tableau4[[#This Row],[D47 eq]]</f>
        <v>1.0951391792470178E-2</v>
      </c>
      <c r="AH29" s="16">
        <f>Tableau4[[#This Row],[D47 eq SD]]+Tableau4[[#This Row],[D47_CI]]</f>
        <v>9.3047299935942237E-3</v>
      </c>
      <c r="AI29" s="2">
        <v>5.0837183968918085</v>
      </c>
      <c r="AJ29" s="2">
        <v>1.0137819861625768</v>
      </c>
      <c r="AK29" s="2">
        <v>40.80377203560937</v>
      </c>
      <c r="AL29" s="2">
        <v>9.5343464533041171</v>
      </c>
    </row>
    <row r="30" spans="1:38" ht="28.8" x14ac:dyDescent="0.3">
      <c r="A30" s="3" t="s">
        <v>66</v>
      </c>
      <c r="B30" s="2">
        <v>-46.475000000000001</v>
      </c>
      <c r="C30" s="2">
        <v>50.5833333333333</v>
      </c>
      <c r="D30" s="12">
        <v>211</v>
      </c>
      <c r="E30" s="3" t="s">
        <v>51</v>
      </c>
      <c r="F30" s="1" t="s">
        <v>33</v>
      </c>
      <c r="G30" s="1" t="s">
        <v>34</v>
      </c>
      <c r="H30" s="1" t="s">
        <v>92</v>
      </c>
      <c r="I30" s="13">
        <v>3.31</v>
      </c>
      <c r="J30" s="13">
        <v>0.8</v>
      </c>
      <c r="K30" s="4">
        <v>34</v>
      </c>
      <c r="L30" s="4">
        <v>0.02</v>
      </c>
      <c r="M30" s="4">
        <f t="shared" si="4"/>
        <v>-0.28999999999999915</v>
      </c>
      <c r="N30" s="2">
        <v>0.13200000000000001</v>
      </c>
      <c r="O30" s="1" t="s">
        <v>62</v>
      </c>
      <c r="P30" s="2">
        <v>1.9664685253731999</v>
      </c>
      <c r="Q30" s="1">
        <v>0.05</v>
      </c>
      <c r="R30" s="2">
        <v>2.3484628025229171</v>
      </c>
      <c r="S30" s="1">
        <v>0.1</v>
      </c>
      <c r="T30" s="8"/>
      <c r="U30" s="8"/>
      <c r="V30" s="1" t="s">
        <v>39</v>
      </c>
      <c r="W30" s="2">
        <f t="shared" si="2"/>
        <v>2.9184628025229165</v>
      </c>
      <c r="X30" s="2">
        <f t="shared" si="3"/>
        <v>0.23200000000000001</v>
      </c>
      <c r="Y30" s="8"/>
      <c r="Z30" s="8"/>
      <c r="AA30" s="8">
        <f>(((EXP((17570/(273.15+Tableau4[[#This Row],[MAT (°C)]])-29.13)/1000)*(1000+Tableau4[[#This Row],[d18Osw_L.S (‰VSMOW)]]))-1000)-30.92)/1.03092</f>
        <v>3.6886346091389215</v>
      </c>
      <c r="AB30" s="8">
        <f>Tableau4[[#This Row],[d18Oc eq]]-(((EXP((17570/(273.15+Tableau4[[#This Row],[MAT (°C)]]+Tableau4[[#This Row],[T-var (°C)]])-29.13)/1000)*(1000+Tableau4[[#This Row],[d18Osw_L.S (‰VSMOW)]]-Tableau4[[#This Row],[d18Osw_L.S_E (‰VSMOW)]]))-1000)-30.92)/1.03092</f>
        <v>0.31653645098593586</v>
      </c>
      <c r="AC30" s="8">
        <f>Tableau4[[#This Row],[d18O (‰VPDB)]]-Tableau4[[#This Row],[d18Oc eq]]</f>
        <v>-1.3401718066160044</v>
      </c>
      <c r="AD30" s="8">
        <f>Tableau4[[#This Row],[d18Oc eq SD]]+Tableau4[[#This Row],[d18O_CI (‰VPDB)]]</f>
        <v>0.41653645098593584</v>
      </c>
      <c r="AE30" s="16"/>
      <c r="AF30" s="16"/>
      <c r="AG30" s="16"/>
      <c r="AH30" s="16"/>
      <c r="AI30" s="2">
        <v>6.7952318255427375</v>
      </c>
      <c r="AJ30" s="2">
        <v>1.0826611015263874</v>
      </c>
      <c r="AK30" s="2">
        <v>46.412731712197015</v>
      </c>
      <c r="AL30" s="2">
        <v>10.333508864820706</v>
      </c>
    </row>
    <row r="31" spans="1:38" ht="28.8" x14ac:dyDescent="0.3">
      <c r="A31" s="3" t="s">
        <v>67</v>
      </c>
      <c r="B31" s="2">
        <v>-46.548333300000003</v>
      </c>
      <c r="C31" s="2">
        <v>51.783333333333303</v>
      </c>
      <c r="D31" s="12">
        <v>200</v>
      </c>
      <c r="E31" s="3" t="s">
        <v>51</v>
      </c>
      <c r="F31" s="1" t="s">
        <v>33</v>
      </c>
      <c r="G31" s="1" t="s">
        <v>34</v>
      </c>
      <c r="H31" s="1" t="s">
        <v>92</v>
      </c>
      <c r="I31" s="13">
        <v>3.38</v>
      </c>
      <c r="J31" s="13">
        <v>0.8</v>
      </c>
      <c r="K31" s="4">
        <v>33.988</v>
      </c>
      <c r="L31" s="4">
        <v>0.02</v>
      </c>
      <c r="M31" s="4">
        <f t="shared" si="4"/>
        <v>-0.29288000000000025</v>
      </c>
      <c r="N31" s="2">
        <v>0.13200000000000001</v>
      </c>
      <c r="O31" s="1" t="s">
        <v>62</v>
      </c>
      <c r="P31" s="2">
        <v>1.57</v>
      </c>
      <c r="Q31" s="1">
        <v>0.02</v>
      </c>
      <c r="R31" s="2">
        <v>2.57</v>
      </c>
      <c r="S31" s="1">
        <v>0.03</v>
      </c>
      <c r="T31" s="8">
        <v>0.68110000000000004</v>
      </c>
      <c r="U31" s="1">
        <v>7.1000000000000004E-3</v>
      </c>
      <c r="V31" s="1" t="s">
        <v>36</v>
      </c>
      <c r="W31" s="2">
        <f t="shared" si="2"/>
        <v>3.1428799999999999</v>
      </c>
      <c r="X31" s="2">
        <f t="shared" si="3"/>
        <v>0.16200000000000001</v>
      </c>
      <c r="Y31" s="9">
        <f>SQRT((39100)/(T31-0.154))-273.15</f>
        <v>-0.79091242286938268</v>
      </c>
      <c r="Z31" s="9">
        <f>U31*((39100/((T31-0.154)^2))/(2*(Y31+273.15)))</f>
        <v>1.834328895653222</v>
      </c>
      <c r="AA31" s="2">
        <f>(((EXP((17570/(273.15+Tableau4[[#This Row],[MAT (°C)]])-29.13)/1000)*(1000+Tableau4[[#This Row],[d18Osw_L.S (‰VSMOW)]]))-1000)-30.92)/1.03092</f>
        <v>3.6695962343196129</v>
      </c>
      <c r="AB31" s="2">
        <f>Tableau4[[#This Row],[d18Oc eq]]-(((EXP((17570/(273.15+Tableau4[[#This Row],[MAT (°C)]]+Tableau4[[#This Row],[T-var (°C)]])-29.13)/1000)*(1000+Tableau4[[#This Row],[d18Osw_L.S (‰VSMOW)]]-Tableau4[[#This Row],[d18Osw_L.S_E (‰VSMOW)]]))-1000)-30.92)/1.03092</f>
        <v>0.31643782483442751</v>
      </c>
      <c r="AC31" s="2">
        <f>Tableau4[[#This Row],[d18O (‰VPDB)]]-Tableau4[[#This Row],[d18Oc eq]]</f>
        <v>-1.0995962343196131</v>
      </c>
      <c r="AD31" s="2">
        <f>Tableau4[[#This Row],[d18Oc eq SD]]+Tableau4[[#This Row],[d18O_CI (‰VPDB)]]</f>
        <v>0.34643782483442753</v>
      </c>
      <c r="AE31" s="16">
        <f>0.0391*(1000000/((273.15+Tableau4[[#This Row],[MAT (°C)]])^2))+0.154</f>
        <v>0.66531937583743361</v>
      </c>
      <c r="AF31" s="16">
        <f>Tableau4[[#This Row],[D47 eq]]-(0.0391*(1000000/((273.15+Tableau4[[#This Row],[MAT (°C)]]+Tableau4[[#This Row],[T-var (°C)]])^2))+0.154)</f>
        <v>2.945700138344276E-3</v>
      </c>
      <c r="AG31" s="16">
        <f>Tableau4[[#This Row],[D47 (‰ICDES)]]-Tableau4[[#This Row],[D47 eq]]</f>
        <v>1.5780624162566426E-2</v>
      </c>
      <c r="AH31" s="16">
        <f>Tableau4[[#This Row],[D47 eq SD]]+Tableau4[[#This Row],[D47_CI]]</f>
        <v>1.0045700138344276E-2</v>
      </c>
      <c r="AI31" s="2">
        <v>4.9209254562579883</v>
      </c>
      <c r="AJ31" s="2">
        <v>1.0599237731335631</v>
      </c>
      <c r="AK31" s="2">
        <v>46.707384578397921</v>
      </c>
      <c r="AL31" s="2">
        <v>10.173820044154455</v>
      </c>
    </row>
    <row r="32" spans="1:38" ht="28.8" x14ac:dyDescent="0.3">
      <c r="A32" s="3" t="s">
        <v>67</v>
      </c>
      <c r="B32" s="2">
        <v>-46.548333300000003</v>
      </c>
      <c r="C32" s="2">
        <v>51.783333333333303</v>
      </c>
      <c r="D32" s="12">
        <v>200</v>
      </c>
      <c r="E32" s="3" t="s">
        <v>51</v>
      </c>
      <c r="F32" s="1" t="s">
        <v>33</v>
      </c>
      <c r="G32" s="1" t="s">
        <v>34</v>
      </c>
      <c r="H32" s="1" t="s">
        <v>92</v>
      </c>
      <c r="I32" s="13">
        <v>3.38</v>
      </c>
      <c r="J32" s="13">
        <v>0.8</v>
      </c>
      <c r="K32" s="4">
        <v>33.988</v>
      </c>
      <c r="L32" s="4">
        <v>0.02</v>
      </c>
      <c r="M32" s="4">
        <f t="shared" si="4"/>
        <v>-0.29288000000000025</v>
      </c>
      <c r="N32" s="2">
        <v>0.13200000000000001</v>
      </c>
      <c r="O32" s="1" t="s">
        <v>62</v>
      </c>
      <c r="P32" s="2">
        <v>1.2275176473217186</v>
      </c>
      <c r="Q32" s="1">
        <v>0.05</v>
      </c>
      <c r="R32" s="2">
        <v>2.0243476731286059</v>
      </c>
      <c r="S32" s="1">
        <v>0.1</v>
      </c>
      <c r="T32" s="8"/>
      <c r="U32" s="8"/>
      <c r="V32" s="1" t="s">
        <v>39</v>
      </c>
      <c r="W32" s="2">
        <f t="shared" si="2"/>
        <v>2.5972276731286064</v>
      </c>
      <c r="X32" s="2">
        <f t="shared" si="3"/>
        <v>0.23200000000000001</v>
      </c>
      <c r="Y32" s="8"/>
      <c r="Z32" s="8"/>
      <c r="AA32" s="8">
        <f>(((EXP((17570/(273.15+Tableau4[[#This Row],[MAT (°C)]])-29.13)/1000)*(1000+Tableau4[[#This Row],[d18Osw_L.S (‰VSMOW)]]))-1000)-30.92)/1.03092</f>
        <v>3.6695962343196129</v>
      </c>
      <c r="AB32" s="8">
        <f>Tableau4[[#This Row],[d18Oc eq]]-(((EXP((17570/(273.15+Tableau4[[#This Row],[MAT (°C)]]+Tableau4[[#This Row],[T-var (°C)]])-29.13)/1000)*(1000+Tableau4[[#This Row],[d18Osw_L.S (‰VSMOW)]]-Tableau4[[#This Row],[d18Osw_L.S_E (‰VSMOW)]]))-1000)-30.92)/1.03092</f>
        <v>0.31643782483442751</v>
      </c>
      <c r="AC32" s="8">
        <f>Tableau4[[#This Row],[d18O (‰VPDB)]]-Tableau4[[#This Row],[d18Oc eq]]</f>
        <v>-1.645248561191007</v>
      </c>
      <c r="AD32" s="8">
        <f>Tableau4[[#This Row],[d18Oc eq SD]]+Tableau4[[#This Row],[d18O_CI (‰VPDB)]]</f>
        <v>0.41643782483442748</v>
      </c>
      <c r="AE32" s="16"/>
      <c r="AF32" s="16"/>
      <c r="AG32" s="16"/>
      <c r="AH32" s="16"/>
      <c r="AI32" s="6">
        <v>4.9209254562579883</v>
      </c>
      <c r="AJ32" s="6">
        <v>1.0599237731335631</v>
      </c>
      <c r="AK32" s="6">
        <v>46.707384578397921</v>
      </c>
      <c r="AL32" s="2">
        <v>10.173820044154455</v>
      </c>
    </row>
    <row r="33" spans="1:38" ht="28.8" x14ac:dyDescent="0.3">
      <c r="A33" s="3" t="s">
        <v>68</v>
      </c>
      <c r="B33" s="2">
        <v>-46.123333299999999</v>
      </c>
      <c r="C33" s="2">
        <v>50.771666666666597</v>
      </c>
      <c r="D33" s="12">
        <v>297.5</v>
      </c>
      <c r="E33" s="3" t="s">
        <v>51</v>
      </c>
      <c r="F33" s="1" t="s">
        <v>33</v>
      </c>
      <c r="G33" s="1" t="s">
        <v>34</v>
      </c>
      <c r="H33" s="1" t="s">
        <v>92</v>
      </c>
      <c r="I33" s="9">
        <v>3.22</v>
      </c>
      <c r="J33" s="9">
        <v>0.2</v>
      </c>
      <c r="K33" s="4">
        <v>34.113</v>
      </c>
      <c r="L33" s="4">
        <v>0.01</v>
      </c>
      <c r="M33" s="4">
        <f t="shared" si="4"/>
        <v>-0.26287999999999911</v>
      </c>
      <c r="N33" s="2">
        <v>0.13200000000000001</v>
      </c>
      <c r="O33" s="1" t="s">
        <v>62</v>
      </c>
      <c r="P33" s="2">
        <v>1.9201444922838125</v>
      </c>
      <c r="Q33" s="1">
        <v>0.05</v>
      </c>
      <c r="R33" s="2">
        <v>2.5083312450671649</v>
      </c>
      <c r="S33" s="1">
        <v>0.1</v>
      </c>
      <c r="T33" s="8"/>
      <c r="U33" s="8"/>
      <c r="V33" s="1" t="s">
        <v>39</v>
      </c>
      <c r="W33" s="2">
        <f t="shared" si="2"/>
        <v>3.0512112450671642</v>
      </c>
      <c r="X33" s="2">
        <f t="shared" si="3"/>
        <v>0.23200000000000001</v>
      </c>
      <c r="Y33" s="8"/>
      <c r="Z33" s="8"/>
      <c r="AA33" s="8">
        <f>(((EXP((17570/(273.15+Tableau4[[#This Row],[MAT (°C)]])-29.13)/1000)*(1000+Tableau4[[#This Row],[d18Osw_L.S (‰VSMOW)]]))-1000)-30.92)/1.03092</f>
        <v>3.7366358820257037</v>
      </c>
      <c r="AB33" s="8">
        <f>Tableau4[[#This Row],[d18Oc eq]]-(((EXP((17570/(273.15+Tableau4[[#This Row],[MAT (°C)]]+Tableau4[[#This Row],[T-var (°C)]])-29.13)/1000)*(1000+Tableau4[[#This Row],[d18Osw_L.S (‰VSMOW)]]-Tableau4[[#This Row],[d18Osw_L.S_E (‰VSMOW)]]))-1000)-30.92)/1.03092</f>
        <v>0.17866601877308064</v>
      </c>
      <c r="AC33" s="8">
        <f>Tableau4[[#This Row],[d18O (‰VPDB)]]-Tableau4[[#This Row],[d18Oc eq]]</f>
        <v>-1.2283046369585389</v>
      </c>
      <c r="AD33" s="8">
        <f>Tableau4[[#This Row],[d18Oc eq SD]]+Tableau4[[#This Row],[d18O_CI (‰VPDB)]]</f>
        <v>0.27866601877308061</v>
      </c>
      <c r="AE33" s="16"/>
      <c r="AF33" s="16"/>
      <c r="AG33" s="16"/>
      <c r="AH33" s="16"/>
      <c r="AI33" s="2">
        <v>3.9233374618149344</v>
      </c>
      <c r="AJ33" s="2">
        <v>0.8883494876269975</v>
      </c>
      <c r="AK33" s="2">
        <v>38.681634690614665</v>
      </c>
      <c r="AL33" s="2">
        <v>8.3453210283880299</v>
      </c>
    </row>
    <row r="34" spans="1:38" ht="28.8" x14ac:dyDescent="0.3">
      <c r="A34" s="3" t="s">
        <v>69</v>
      </c>
      <c r="B34" s="2">
        <v>-46.6666667</v>
      </c>
      <c r="C34" s="2">
        <v>51.674999999999997</v>
      </c>
      <c r="D34" s="12">
        <v>325</v>
      </c>
      <c r="E34" s="3" t="s">
        <v>51</v>
      </c>
      <c r="F34" s="1" t="s">
        <v>33</v>
      </c>
      <c r="G34" s="1" t="s">
        <v>34</v>
      </c>
      <c r="H34" s="1" t="s">
        <v>92</v>
      </c>
      <c r="I34" s="9">
        <v>2.8</v>
      </c>
      <c r="J34" s="9">
        <v>0.6</v>
      </c>
      <c r="K34" s="4">
        <v>34.161000000000001</v>
      </c>
      <c r="L34" s="4">
        <v>0.01</v>
      </c>
      <c r="M34" s="4">
        <f t="shared" si="4"/>
        <v>-0.25136000000000003</v>
      </c>
      <c r="N34" s="2">
        <v>0.13200000000000001</v>
      </c>
      <c r="O34" s="1" t="s">
        <v>62</v>
      </c>
      <c r="P34" s="2">
        <v>2.4615007783672471</v>
      </c>
      <c r="Q34" s="1">
        <v>0.05</v>
      </c>
      <c r="R34" s="2">
        <v>2.7344304953742622</v>
      </c>
      <c r="S34" s="1">
        <v>0.1</v>
      </c>
      <c r="T34" s="8"/>
      <c r="U34" s="8"/>
      <c r="V34" s="1" t="s">
        <v>39</v>
      </c>
      <c r="W34" s="2">
        <f t="shared" ref="W34:W65" si="5">R34-M34+0.28</f>
        <v>3.2657904953742625</v>
      </c>
      <c r="X34" s="2">
        <f t="shared" ref="X34:X65" si="6">S34+N34</f>
        <v>0.23200000000000001</v>
      </c>
      <c r="Y34" s="8"/>
      <c r="Z34" s="8"/>
      <c r="AA34" s="8">
        <f>(((EXP((17570/(273.15+Tableau4[[#This Row],[MAT (°C)]])-29.13)/1000)*(1000+Tableau4[[#This Row],[d18Osw_L.S (‰VSMOW)]]))-1000)-30.92)/1.03092</f>
        <v>3.8453302147319888</v>
      </c>
      <c r="AB34" s="8">
        <f>Tableau4[[#This Row],[d18Oc eq]]-(((EXP((17570/(273.15+Tableau4[[#This Row],[MAT (°C)]]+Tableau4[[#This Row],[T-var (°C)]])-29.13)/1000)*(1000+Tableau4[[#This Row],[d18Osw_L.S (‰VSMOW)]]-Tableau4[[#This Row],[d18Osw_L.S_E (‰VSMOW)]]))-1000)-30.92)/1.03092</f>
        <v>0.27118404754470093</v>
      </c>
      <c r="AC34" s="8">
        <f>Tableau4[[#This Row],[d18O (‰VPDB)]]-Tableau4[[#This Row],[d18Oc eq]]</f>
        <v>-1.1108997193577266</v>
      </c>
      <c r="AD34" s="8">
        <f>Tableau4[[#This Row],[d18Oc eq SD]]+Tableau4[[#This Row],[d18O_CI (‰VPDB)]]</f>
        <v>0.37118404754470091</v>
      </c>
      <c r="AE34" s="16"/>
      <c r="AF34" s="16"/>
      <c r="AG34" s="16"/>
      <c r="AH34" s="16"/>
      <c r="AI34" s="2">
        <v>3.5724246188270241</v>
      </c>
      <c r="AJ34" s="2">
        <v>0.60415864012075282</v>
      </c>
      <c r="AK34" s="2">
        <v>16.273318308541</v>
      </c>
      <c r="AL34" s="2">
        <v>3.9077793636182983</v>
      </c>
    </row>
    <row r="35" spans="1:38" ht="28.8" x14ac:dyDescent="0.3">
      <c r="A35" s="3" t="s">
        <v>70</v>
      </c>
      <c r="B35" s="4">
        <v>-45.801666699999998</v>
      </c>
      <c r="C35" s="4">
        <v>49.762500000000003</v>
      </c>
      <c r="D35" s="5">
        <v>355</v>
      </c>
      <c r="E35" s="3" t="s">
        <v>51</v>
      </c>
      <c r="F35" s="1" t="s">
        <v>33</v>
      </c>
      <c r="G35" s="1" t="s">
        <v>34</v>
      </c>
      <c r="H35" s="1" t="s">
        <v>92</v>
      </c>
      <c r="I35" s="13">
        <v>3.14</v>
      </c>
      <c r="J35" s="13">
        <v>0.3</v>
      </c>
      <c r="K35" s="4">
        <v>34.158000000000001</v>
      </c>
      <c r="L35" s="4">
        <v>0.01</v>
      </c>
      <c r="M35" s="4">
        <f t="shared" si="4"/>
        <v>-0.25207999999999942</v>
      </c>
      <c r="N35" s="2">
        <v>0.13200000000000001</v>
      </c>
      <c r="O35" s="1" t="s">
        <v>62</v>
      </c>
      <c r="P35" s="2">
        <v>2.0299999999999998</v>
      </c>
      <c r="Q35" s="1">
        <v>0.02</v>
      </c>
      <c r="R35" s="2">
        <v>3.37</v>
      </c>
      <c r="S35" s="1">
        <v>0.03</v>
      </c>
      <c r="T35" s="8">
        <v>0.66700000000000004</v>
      </c>
      <c r="U35" s="8">
        <v>8.6999999999999994E-3</v>
      </c>
      <c r="V35" s="1" t="s">
        <v>36</v>
      </c>
      <c r="W35" s="2">
        <f t="shared" si="5"/>
        <v>3.9020799999999998</v>
      </c>
      <c r="X35" s="2">
        <f t="shared" si="6"/>
        <v>0.16200000000000001</v>
      </c>
      <c r="Y35" s="9">
        <f>SQRT((39100)/(T35-0.154))-273.15</f>
        <v>2.9266625173968919</v>
      </c>
      <c r="Z35" s="9">
        <f>U35*((39100/((T35-0.154)^2))/(2*(Y35+273.15)))</f>
        <v>2.3410009394750024</v>
      </c>
      <c r="AA35" s="2">
        <f>(((EXP((17570/(273.15+Tableau4[[#This Row],[MAT (°C)]])-29.13)/1000)*(1000+Tableau4[[#This Row],[d18Osw_L.S (‰VSMOW)]]))-1000)-30.92)/1.03092</f>
        <v>3.7659562025813988</v>
      </c>
      <c r="AB35" s="2">
        <f>Tableau4[[#This Row],[d18Oc eq]]-(((EXP((17570/(273.15+Tableau4[[#This Row],[MAT (°C)]]+Tableau4[[#This Row],[T-var (°C)]])-29.13)/1000)*(1000+Tableau4[[#This Row],[d18Osw_L.S (‰VSMOW)]]-Tableau4[[#This Row],[d18Osw_L.S_E (‰VSMOW)]]))-1000)-30.92)/1.03092</f>
        <v>0.20175368950298633</v>
      </c>
      <c r="AC35" s="2">
        <f>Tableau4[[#This Row],[d18O (‰VPDB)]]-Tableau4[[#This Row],[d18Oc eq]]</f>
        <v>-0.39595620258139874</v>
      </c>
      <c r="AD35" s="2">
        <f>Tableau4[[#This Row],[d18Oc eq SD]]+Tableau4[[#This Row],[d18O_CI (‰VPDB)]]</f>
        <v>0.23175368950298633</v>
      </c>
      <c r="AE35" s="16">
        <f>0.0391*(1000000/((273.15+Tableau4[[#This Row],[MAT (°C)]])^2))+0.154</f>
        <v>0.66620807936824289</v>
      </c>
      <c r="AF35" s="16">
        <f>Tableau4[[#This Row],[D47 eq]]-(0.0391*(1000000/((273.15+Tableau4[[#This Row],[MAT (°C)]]+Tableau4[[#This Row],[T-var (°C)]])^2))+0.154)</f>
        <v>1.110518021369078E-3</v>
      </c>
      <c r="AG35" s="16">
        <f>Tableau4[[#This Row],[D47 (‰ICDES)]]-Tableau4[[#This Row],[D47 eq]]</f>
        <v>7.9192063175714811E-4</v>
      </c>
      <c r="AH35" s="16">
        <f>Tableau4[[#This Row],[D47 eq SD]]+Tableau4[[#This Row],[D47_CI]]</f>
        <v>9.8105180213690774E-3</v>
      </c>
      <c r="AI35" s="2">
        <v>7.4678180377161052</v>
      </c>
      <c r="AJ35" s="2">
        <v>0.94252996650900744</v>
      </c>
      <c r="AK35" s="2">
        <v>44.704646582750968</v>
      </c>
      <c r="AL35" s="2">
        <v>9.4607188539710094</v>
      </c>
    </row>
    <row r="36" spans="1:38" ht="28.8" x14ac:dyDescent="0.3">
      <c r="A36" s="3" t="s">
        <v>70</v>
      </c>
      <c r="B36" s="4">
        <v>-45.801666699999998</v>
      </c>
      <c r="C36" s="4">
        <v>49.762500000000003</v>
      </c>
      <c r="D36" s="5">
        <v>355</v>
      </c>
      <c r="E36" s="3" t="s">
        <v>51</v>
      </c>
      <c r="F36" s="1" t="s">
        <v>33</v>
      </c>
      <c r="G36" s="1" t="s">
        <v>34</v>
      </c>
      <c r="H36" s="1" t="s">
        <v>92</v>
      </c>
      <c r="I36" s="13">
        <v>3.14</v>
      </c>
      <c r="J36" s="13">
        <v>0.3</v>
      </c>
      <c r="K36" s="4">
        <v>34.158000000000001</v>
      </c>
      <c r="L36" s="4">
        <v>0.01</v>
      </c>
      <c r="M36" s="4">
        <f t="shared" si="4"/>
        <v>-0.25207999999999942</v>
      </c>
      <c r="N36" s="2">
        <v>0.13200000000000001</v>
      </c>
      <c r="O36" s="1" t="s">
        <v>62</v>
      </c>
      <c r="P36" s="2">
        <v>2.0423731379216719</v>
      </c>
      <c r="Q36" s="1">
        <v>0.05</v>
      </c>
      <c r="R36" s="2">
        <v>3.2270019696767314</v>
      </c>
      <c r="S36" s="1">
        <v>0.1</v>
      </c>
      <c r="T36" s="8"/>
      <c r="U36" s="8"/>
      <c r="V36" s="1" t="s">
        <v>39</v>
      </c>
      <c r="W36" s="2">
        <f t="shared" si="5"/>
        <v>3.759081969676731</v>
      </c>
      <c r="X36" s="2">
        <f t="shared" si="6"/>
        <v>0.23200000000000001</v>
      </c>
      <c r="Y36" s="8"/>
      <c r="Z36" s="8"/>
      <c r="AA36" s="8">
        <f>(((EXP((17570/(273.15+Tableau4[[#This Row],[MAT (°C)]])-29.13)/1000)*(1000+Tableau4[[#This Row],[d18Osw_L.S (‰VSMOW)]]))-1000)-30.92)/1.03092</f>
        <v>3.7659562025813988</v>
      </c>
      <c r="AB36" s="8">
        <f>Tableau4[[#This Row],[d18Oc eq]]-(((EXP((17570/(273.15+Tableau4[[#This Row],[MAT (°C)]]+Tableau4[[#This Row],[T-var (°C)]])-29.13)/1000)*(1000+Tableau4[[#This Row],[d18Osw_L.S (‰VSMOW)]]-Tableau4[[#This Row],[d18Osw_L.S_E (‰VSMOW)]]))-1000)-30.92)/1.03092</f>
        <v>0.20175368950298633</v>
      </c>
      <c r="AC36" s="8">
        <f>Tableau4[[#This Row],[d18O (‰VPDB)]]-Tableau4[[#This Row],[d18Oc eq]]</f>
        <v>-0.53895423290466749</v>
      </c>
      <c r="AD36" s="8">
        <f>Tableau4[[#This Row],[d18Oc eq SD]]+Tableau4[[#This Row],[d18O_CI (‰VPDB)]]</f>
        <v>0.30175368950298631</v>
      </c>
      <c r="AE36" s="16"/>
      <c r="AF36" s="16"/>
      <c r="AG36" s="16"/>
      <c r="AH36" s="16"/>
      <c r="AI36" s="2">
        <v>7.4678180377161052</v>
      </c>
      <c r="AJ36" s="2">
        <v>0.94252996650900744</v>
      </c>
      <c r="AK36" s="2">
        <v>44.704646582750968</v>
      </c>
      <c r="AL36" s="2">
        <v>9.4607188539710094</v>
      </c>
    </row>
    <row r="37" spans="1:38" ht="28.8" x14ac:dyDescent="0.3">
      <c r="A37" s="3" t="s">
        <v>71</v>
      </c>
      <c r="B37" s="1">
        <v>-67.569999999999993</v>
      </c>
      <c r="C37" s="1">
        <v>-68.14</v>
      </c>
      <c r="D37" s="14">
        <v>20</v>
      </c>
      <c r="E37" s="1" t="s">
        <v>32</v>
      </c>
      <c r="F37" s="1" t="s">
        <v>33</v>
      </c>
      <c r="G37" s="1" t="s">
        <v>34</v>
      </c>
      <c r="H37" s="1" t="s">
        <v>92</v>
      </c>
      <c r="I37" s="1">
        <v>-1.1000000000000001</v>
      </c>
      <c r="J37" s="1">
        <v>0.4</v>
      </c>
      <c r="K37" s="1">
        <v>33.299999999999997</v>
      </c>
      <c r="L37" s="1">
        <v>0.2</v>
      </c>
      <c r="M37" s="4">
        <f>K37*0.23-8.11</f>
        <v>-0.45099999999999962</v>
      </c>
      <c r="N37" s="2">
        <v>0.13200000000000001</v>
      </c>
      <c r="O37" s="1" t="s">
        <v>62</v>
      </c>
      <c r="P37" s="2">
        <v>0.53135081549381979</v>
      </c>
      <c r="Q37" s="1">
        <v>0.05</v>
      </c>
      <c r="R37" s="2">
        <v>2.9079358075245345</v>
      </c>
      <c r="S37" s="1">
        <v>0.1</v>
      </c>
      <c r="T37" s="8"/>
      <c r="U37" s="8"/>
      <c r="V37" s="1" t="s">
        <v>39</v>
      </c>
      <c r="W37" s="2">
        <f t="shared" si="5"/>
        <v>3.6389358075245344</v>
      </c>
      <c r="X37" s="2">
        <f t="shared" si="6"/>
        <v>0.23200000000000001</v>
      </c>
      <c r="Y37" s="8"/>
      <c r="Z37" s="8"/>
      <c r="AA37" s="8">
        <f>(((EXP((17570/(273.15+Tableau4[[#This Row],[MAT (°C)]])-29.13)/1000)*(1000+Tableau4[[#This Row],[d18Osw_L.S (‰VSMOW)]]))-1000)-30.92)/1.03092</f>
        <v>4.5613786019771974</v>
      </c>
      <c r="AB37" s="8">
        <f>Tableau4[[#This Row],[d18Oc eq]]-(((EXP((17570/(273.15+Tableau4[[#This Row],[MAT (°C)]]+Tableau4[[#This Row],[T-var (°C)]])-29.13)/1000)*(1000+Tableau4[[#This Row],[d18Osw_L.S (‰VSMOW)]]-Tableau4[[#This Row],[d18Osw_L.S_E (‰VSMOW)]]))-1000)-30.92)/1.03092</f>
        <v>0.22789652800518656</v>
      </c>
      <c r="AC37" s="8">
        <f>Tableau4[[#This Row],[d18O (‰VPDB)]]-Tableau4[[#This Row],[d18Oc eq]]</f>
        <v>-1.6534427944526628</v>
      </c>
      <c r="AD37" s="8">
        <f>Tableau4[[#This Row],[d18Oc eq SD]]+Tableau4[[#This Row],[d18O_CI (‰VPDB)]]</f>
        <v>0.32789652800518654</v>
      </c>
      <c r="AE37" s="16"/>
      <c r="AF37" s="16"/>
      <c r="AG37" s="16"/>
      <c r="AH37" s="16"/>
      <c r="AI37" s="2">
        <v>13.465736525868612</v>
      </c>
      <c r="AJ37" s="2">
        <v>1.5609536407120632</v>
      </c>
      <c r="AK37" s="2">
        <v>54.821032743463341</v>
      </c>
      <c r="AL37" s="2">
        <v>14.84917119625322</v>
      </c>
    </row>
    <row r="38" spans="1:38" ht="28.8" x14ac:dyDescent="0.3">
      <c r="A38" s="3" t="s">
        <v>71</v>
      </c>
      <c r="B38" s="1">
        <v>-67.569999999999993</v>
      </c>
      <c r="C38" s="1">
        <v>-68.14</v>
      </c>
      <c r="D38" s="14">
        <v>20</v>
      </c>
      <c r="E38" s="1" t="s">
        <v>32</v>
      </c>
      <c r="F38" s="1" t="s">
        <v>33</v>
      </c>
      <c r="G38" s="1" t="s">
        <v>34</v>
      </c>
      <c r="H38" s="1" t="s">
        <v>92</v>
      </c>
      <c r="I38" s="1">
        <v>-1.1000000000000001</v>
      </c>
      <c r="J38" s="1">
        <v>0.4</v>
      </c>
      <c r="K38" s="1">
        <v>33.299999999999997</v>
      </c>
      <c r="L38" s="1">
        <v>0.2</v>
      </c>
      <c r="M38" s="4">
        <f>K38*0.23-8.11</f>
        <v>-0.45099999999999962</v>
      </c>
      <c r="N38" s="2">
        <v>0.13200000000000001</v>
      </c>
      <c r="O38" s="1" t="s">
        <v>62</v>
      </c>
      <c r="P38" s="2">
        <v>0.63</v>
      </c>
      <c r="Q38" s="1">
        <v>0.02</v>
      </c>
      <c r="R38" s="2">
        <v>3.33</v>
      </c>
      <c r="S38" s="1">
        <v>0.03</v>
      </c>
      <c r="T38" s="8">
        <v>0.69410000000000005</v>
      </c>
      <c r="U38" s="1">
        <v>8.6999999999999994E-3</v>
      </c>
      <c r="V38" s="1" t="s">
        <v>36</v>
      </c>
      <c r="W38" s="2">
        <f t="shared" si="5"/>
        <v>4.0609999999999999</v>
      </c>
      <c r="X38" s="2">
        <f t="shared" si="6"/>
        <v>0.16200000000000001</v>
      </c>
      <c r="Y38" s="9">
        <f>SQRT((39100)/(T38-0.154))-273.15</f>
        <v>-4.0886666373159528</v>
      </c>
      <c r="Z38" s="9">
        <f>U38*((39100/((T38-0.154)^2))/(2*(Y38+273.15)))</f>
        <v>2.1670372155668862</v>
      </c>
      <c r="AA38" s="2">
        <f>(((EXP((17570/(273.15+Tableau4[[#This Row],[MAT (°C)]])-29.13)/1000)*(1000+Tableau4[[#This Row],[d18Osw_L.S (‰VSMOW)]]))-1000)-30.92)/1.03092</f>
        <v>4.5613786019771974</v>
      </c>
      <c r="AB38" s="2">
        <f>Tableau4[[#This Row],[d18Oc eq]]-(((EXP((17570/(273.15+Tableau4[[#This Row],[MAT (°C)]]+Tableau4[[#This Row],[T-var (°C)]])-29.13)/1000)*(1000+Tableau4[[#This Row],[d18Osw_L.S (‰VSMOW)]]-Tableau4[[#This Row],[d18Osw_L.S_E (‰VSMOW)]]))-1000)-30.92)/1.03092</f>
        <v>0.22789652800518656</v>
      </c>
      <c r="AC38" s="2">
        <f>Tableau4[[#This Row],[d18O (‰VPDB)]]-Tableau4[[#This Row],[d18Oc eq]]</f>
        <v>-1.2313786019771973</v>
      </c>
      <c r="AD38" s="2">
        <f>Tableau4[[#This Row],[d18Oc eq SD]]+Tableau4[[#This Row],[d18O_CI (‰VPDB)]]</f>
        <v>0.25789652800518659</v>
      </c>
      <c r="AE38" s="16">
        <f>0.0391*(1000000/((273.15+Tableau4[[#This Row],[MAT (°C)]])^2))+0.154</f>
        <v>0.68229840185342239</v>
      </c>
      <c r="AF38" s="16">
        <f>Tableau4[[#This Row],[D47 eq]]-(0.0391*(1000000/((273.15+Tableau4[[#This Row],[MAT (°C)]]+Tableau4[[#This Row],[T-var (°C)]])^2))+0.154)</f>
        <v>1.5501136759000778E-3</v>
      </c>
      <c r="AG38" s="16">
        <f>Tableau4[[#This Row],[D47 (‰ICDES)]]-Tableau4[[#This Row],[D47 eq]]</f>
        <v>1.1801598146577663E-2</v>
      </c>
      <c r="AH38" s="16">
        <f>Tableau4[[#This Row],[D47 eq SD]]+Tableau4[[#This Row],[D47_CI]]</f>
        <v>1.0250113675900077E-2</v>
      </c>
      <c r="AI38" s="2">
        <v>13.465736525868612</v>
      </c>
      <c r="AJ38" s="2">
        <v>1.5609536407120632</v>
      </c>
      <c r="AK38" s="2">
        <v>54.821032743463341</v>
      </c>
      <c r="AL38" s="2">
        <v>14.84917119625322</v>
      </c>
    </row>
    <row r="39" spans="1:38" ht="28.8" x14ac:dyDescent="0.3">
      <c r="A39" s="3" t="s">
        <v>72</v>
      </c>
      <c r="B39" s="2">
        <v>-66.633333300000004</v>
      </c>
      <c r="C39" s="2">
        <v>143.083333333333</v>
      </c>
      <c r="D39" s="12">
        <v>868.5</v>
      </c>
      <c r="E39" s="3" t="s">
        <v>51</v>
      </c>
      <c r="F39" s="1" t="s">
        <v>33</v>
      </c>
      <c r="G39" s="1" t="s">
        <v>34</v>
      </c>
      <c r="H39" s="1" t="s">
        <v>92</v>
      </c>
      <c r="I39" s="1">
        <v>-1.9</v>
      </c>
      <c r="J39" s="1">
        <v>0.2</v>
      </c>
      <c r="K39" s="1">
        <v>34.700000000000003</v>
      </c>
      <c r="L39" s="1"/>
      <c r="M39" s="4">
        <f>K39*0.23-8.11</f>
        <v>-0.12899999999999867</v>
      </c>
      <c r="N39" s="2">
        <v>7.4999999999999997E-2</v>
      </c>
      <c r="O39" s="1" t="s">
        <v>73</v>
      </c>
      <c r="P39" s="2">
        <v>1.02642185060453</v>
      </c>
      <c r="Q39" s="1">
        <v>0.05</v>
      </c>
      <c r="R39" s="2">
        <v>3.6786842965625048</v>
      </c>
      <c r="S39" s="1">
        <v>0.1</v>
      </c>
      <c r="T39" s="8"/>
      <c r="U39" s="8"/>
      <c r="V39" s="1" t="s">
        <v>39</v>
      </c>
      <c r="W39" s="2">
        <f t="shared" si="5"/>
        <v>4.0876842965625038</v>
      </c>
      <c r="X39" s="2">
        <f t="shared" si="6"/>
        <v>0.17499999999999999</v>
      </c>
      <c r="Y39" s="8"/>
      <c r="Z39" s="8"/>
      <c r="AA39" s="8">
        <f>(((EXP((17570/(273.15+Tableau4[[#This Row],[MAT (°C)]])-29.13)/1000)*(1000+Tableau4[[#This Row],[d18Osw_L.S (‰VSMOW)]]))-1000)-30.92)/1.03092</f>
        <v>5.0764193468892271</v>
      </c>
      <c r="AB39" s="8">
        <f>Tableau4[[#This Row],[d18Oc eq]]-(((EXP((17570/(273.15+Tableau4[[#This Row],[MAT (°C)]]+Tableau4[[#This Row],[T-var (°C)]])-29.13)/1000)*(1000+Tableau4[[#This Row],[d18Osw_L.S (‰VSMOW)]]-Tableau4[[#This Row],[d18Osw_L.S_E (‰VSMOW)]]))-1000)-30.92)/1.03092</f>
        <v>0.123352569765804</v>
      </c>
      <c r="AC39" s="8">
        <f>Tableau4[[#This Row],[d18O (‰VPDB)]]-Tableau4[[#This Row],[d18Oc eq]]</f>
        <v>-1.3977350503267223</v>
      </c>
      <c r="AD39" s="8">
        <f>Tableau4[[#This Row],[d18Oc eq SD]]+Tableau4[[#This Row],[d18O_CI (‰VPDB)]]</f>
        <v>0.223352569765804</v>
      </c>
      <c r="AE39" s="16"/>
      <c r="AF39" s="16"/>
      <c r="AG39" s="16"/>
      <c r="AH39" s="16"/>
      <c r="AI39" s="2">
        <v>6.8367240238254636</v>
      </c>
      <c r="AJ39" s="2">
        <v>1.1318845808214397</v>
      </c>
      <c r="AK39" s="2">
        <v>55.345876333493159</v>
      </c>
      <c r="AL39" s="2">
        <v>11.434183896659125</v>
      </c>
    </row>
    <row r="40" spans="1:38" ht="28.8" x14ac:dyDescent="0.3">
      <c r="A40" s="3" t="s">
        <v>72</v>
      </c>
      <c r="B40" s="2">
        <v>-66.633333300000004</v>
      </c>
      <c r="C40" s="2">
        <v>143.083333333333</v>
      </c>
      <c r="D40" s="12">
        <v>868.5</v>
      </c>
      <c r="E40" s="3" t="s">
        <v>51</v>
      </c>
      <c r="F40" s="1" t="s">
        <v>33</v>
      </c>
      <c r="G40" s="1" t="s">
        <v>34</v>
      </c>
      <c r="H40" s="1" t="s">
        <v>92</v>
      </c>
      <c r="I40" s="1">
        <v>-1.9</v>
      </c>
      <c r="J40" s="1">
        <v>0.2</v>
      </c>
      <c r="K40" s="1">
        <v>34.700000000000003</v>
      </c>
      <c r="L40" s="1"/>
      <c r="M40" s="4">
        <f>K40*0.23-8.11</f>
        <v>-0.12899999999999867</v>
      </c>
      <c r="N40" s="2">
        <v>7.4999999999999997E-2</v>
      </c>
      <c r="O40" s="1" t="s">
        <v>73</v>
      </c>
      <c r="P40" s="2">
        <v>1.01</v>
      </c>
      <c r="Q40" s="1">
        <v>0.02</v>
      </c>
      <c r="R40" s="2">
        <v>3.98</v>
      </c>
      <c r="S40" s="1">
        <v>0.03</v>
      </c>
      <c r="T40" s="8">
        <v>0.69210000000000005</v>
      </c>
      <c r="U40" s="1">
        <v>7.7999999999999996E-3</v>
      </c>
      <c r="V40" s="1" t="s">
        <v>36</v>
      </c>
      <c r="W40" s="2">
        <f t="shared" si="5"/>
        <v>4.3889999999999985</v>
      </c>
      <c r="X40" s="2">
        <f t="shared" si="6"/>
        <v>0.105</v>
      </c>
      <c r="Y40" s="9">
        <f>SQRT((39100)/(T40-0.154))-273.15</f>
        <v>-3.5891093312901035</v>
      </c>
      <c r="Z40" s="9">
        <f>U40*((39100/((T40-0.154)^2))/(2*(Y40+273.15)))</f>
        <v>1.9537027942909653</v>
      </c>
      <c r="AA40" s="2">
        <f>(((EXP((17570/(273.15+Tableau4[[#This Row],[MAT (°C)]])-29.13)/1000)*(1000+Tableau4[[#This Row],[d18Osw_L.S (‰VSMOW)]]))-1000)-30.92)/1.03092</f>
        <v>5.0764193468892271</v>
      </c>
      <c r="AB40" s="2">
        <f>Tableau4[[#This Row],[d18Oc eq]]-(((EXP((17570/(273.15+Tableau4[[#This Row],[MAT (°C)]]+Tableau4[[#This Row],[T-var (°C)]])-29.13)/1000)*(1000+Tableau4[[#This Row],[d18Osw_L.S (‰VSMOW)]]-Tableau4[[#This Row],[d18Osw_L.S_E (‰VSMOW)]]))-1000)-30.92)/1.03092</f>
        <v>0.123352569765804</v>
      </c>
      <c r="AC40" s="2">
        <f>Tableau4[[#This Row],[d18O (‰VPDB)]]-Tableau4[[#This Row],[d18Oc eq]]</f>
        <v>-1.0964193468892272</v>
      </c>
      <c r="AD40" s="2">
        <f>Tableau4[[#This Row],[d18Oc eq SD]]+Tableau4[[#This Row],[d18O_CI (‰VPDB)]]</f>
        <v>0.153352569765804</v>
      </c>
      <c r="AE40" s="16">
        <f>0.0391*(1000000/((273.15+Tableau4[[#This Row],[MAT (°C)]])^2))+0.154</f>
        <v>0.68541922742041672</v>
      </c>
      <c r="AF40" s="16">
        <f>Tableau4[[#This Row],[D47 eq]]-(0.0391*(1000000/((273.15+Tableau4[[#This Row],[MAT (°C)]]+Tableau4[[#This Row],[T-var (°C)]])^2))+0.154)</f>
        <v>7.827938211012464E-4</v>
      </c>
      <c r="AG40" s="16">
        <f>Tableau4[[#This Row],[D47 (‰ICDES)]]-Tableau4[[#This Row],[D47 eq]]</f>
        <v>6.6807725795833273E-3</v>
      </c>
      <c r="AH40" s="16">
        <f>Tableau4[[#This Row],[D47 eq SD]]+Tableau4[[#This Row],[D47_CI]]</f>
        <v>8.582793821101246E-3</v>
      </c>
      <c r="AI40" s="2">
        <v>6.8367240238254636</v>
      </c>
      <c r="AJ40" s="2">
        <v>1.1318845808214397</v>
      </c>
      <c r="AK40" s="2">
        <v>55.345876333493159</v>
      </c>
      <c r="AL40" s="2">
        <v>11.434183896659125</v>
      </c>
    </row>
    <row r="41" spans="1:38" x14ac:dyDescent="0.3">
      <c r="A41" s="1" t="s">
        <v>44</v>
      </c>
      <c r="B41" s="1">
        <v>-19.100000000000001</v>
      </c>
      <c r="C41" s="1">
        <v>163.5</v>
      </c>
      <c r="D41" s="1">
        <v>220</v>
      </c>
      <c r="E41" s="1" t="s">
        <v>32</v>
      </c>
      <c r="F41" s="1" t="s">
        <v>33</v>
      </c>
      <c r="G41" s="1" t="s">
        <v>34</v>
      </c>
      <c r="H41" s="1" t="s">
        <v>93</v>
      </c>
      <c r="I41" s="1">
        <v>19.7</v>
      </c>
      <c r="J41" s="1">
        <v>0.7</v>
      </c>
      <c r="K41" s="1">
        <v>35.61</v>
      </c>
      <c r="L41" s="1">
        <v>0.01</v>
      </c>
      <c r="M41" s="2">
        <f>K41*0.27-8.88</f>
        <v>0.73470000000000013</v>
      </c>
      <c r="N41" s="2">
        <v>7.8E-2</v>
      </c>
      <c r="O41" s="1" t="s">
        <v>45</v>
      </c>
      <c r="P41" s="6">
        <v>2.0409999999999999</v>
      </c>
      <c r="Q41" s="7">
        <v>0.05</v>
      </c>
      <c r="R41" s="6">
        <v>0.19900000000000001</v>
      </c>
      <c r="S41" s="1">
        <v>0.1</v>
      </c>
      <c r="T41" s="8"/>
      <c r="U41" s="8"/>
      <c r="V41" s="1" t="s">
        <v>39</v>
      </c>
      <c r="W41" s="2">
        <f t="shared" si="5"/>
        <v>-0.25570000000000004</v>
      </c>
      <c r="X41" s="2">
        <f t="shared" si="6"/>
        <v>0.17799999999999999</v>
      </c>
      <c r="Y41" s="8"/>
      <c r="Z41" s="8"/>
      <c r="AA41" s="8">
        <f>(((EXP((17570/(273.15+Tableau4[[#This Row],[MAT (°C)]])-29.13)/1000)*(1000+Tableau4[[#This Row],[d18Osw_L.S (‰VSMOW)]]))-1000)-30.92)/1.03092</f>
        <v>1.1500688894274615</v>
      </c>
      <c r="AB41" s="8">
        <f>Tableau4[[#This Row],[d18Oc eq]]-(((EXP((17570/(273.15+Tableau4[[#This Row],[MAT (°C)]]+Tableau4[[#This Row],[T-var (°C)]])-29.13)/1000)*(1000+Tableau4[[#This Row],[d18Osw_L.S (‰VSMOW)]]-Tableau4[[#This Row],[d18Osw_L.S_E (‰VSMOW)]]))-1000)-30.92)/1.03092</f>
        <v>0.22124349859422354</v>
      </c>
      <c r="AC41" s="8">
        <f>Tableau4[[#This Row],[d18O (‰VPDB)]]-Tableau4[[#This Row],[d18Oc eq]]</f>
        <v>-0.95106888942746148</v>
      </c>
      <c r="AD41" s="8">
        <f>Tableau4[[#This Row],[d18Oc eq SD]]+Tableau4[[#This Row],[d18O_CI (‰VPDB)]]</f>
        <v>0.32124349859422352</v>
      </c>
      <c r="AE41" s="16"/>
      <c r="AF41" s="16"/>
      <c r="AG41" s="16"/>
      <c r="AH41" s="16"/>
      <c r="AI41" s="2">
        <v>11.147337076443424</v>
      </c>
      <c r="AJ41" s="2">
        <v>1.0170503105704283</v>
      </c>
      <c r="AK41" s="2">
        <v>25.534285221673208</v>
      </c>
      <c r="AL41" s="2">
        <v>8.3456842595959806</v>
      </c>
    </row>
    <row r="42" spans="1:38" x14ac:dyDescent="0.3">
      <c r="A42" s="3" t="s">
        <v>46</v>
      </c>
      <c r="B42" s="4">
        <v>16.329999999999998</v>
      </c>
      <c r="C42" s="4">
        <v>-60.98</v>
      </c>
      <c r="D42" s="5">
        <v>250</v>
      </c>
      <c r="E42" s="1" t="s">
        <v>32</v>
      </c>
      <c r="F42" s="1" t="s">
        <v>33</v>
      </c>
      <c r="G42" s="1" t="s">
        <v>34</v>
      </c>
      <c r="H42" s="1" t="s">
        <v>93</v>
      </c>
      <c r="I42" s="1">
        <v>17.3</v>
      </c>
      <c r="J42" s="1">
        <v>1</v>
      </c>
      <c r="K42" s="1">
        <v>36.380000000000003</v>
      </c>
      <c r="L42" s="1">
        <v>0.03</v>
      </c>
      <c r="M42" s="4">
        <f>K42*0.15-4.61</f>
        <v>0.84699999999999953</v>
      </c>
      <c r="N42" s="2">
        <v>0.13100000000000001</v>
      </c>
      <c r="O42" s="1" t="s">
        <v>35</v>
      </c>
      <c r="P42" s="6">
        <v>1.45</v>
      </c>
      <c r="Q42" s="7">
        <v>0.05</v>
      </c>
      <c r="R42" s="6">
        <v>0.98099999999999998</v>
      </c>
      <c r="S42" s="1">
        <v>0.1</v>
      </c>
      <c r="T42" s="8"/>
      <c r="U42" s="8"/>
      <c r="V42" s="1" t="s">
        <v>39</v>
      </c>
      <c r="W42" s="2">
        <f t="shared" si="5"/>
        <v>0.41400000000000048</v>
      </c>
      <c r="X42" s="2">
        <f t="shared" si="6"/>
        <v>0.23100000000000001</v>
      </c>
      <c r="Y42" s="8"/>
      <c r="Z42" s="8"/>
      <c r="AA42" s="8">
        <f>(((EXP((17570/(273.15+Tableau4[[#This Row],[MAT (°C)]])-29.13)/1000)*(1000+Tableau4[[#This Row],[d18Osw_L.S (‰VSMOW)]]))-1000)-30.92)/1.03092</f>
        <v>1.7589186011239262</v>
      </c>
      <c r="AB42" s="8">
        <f>Tableau4[[#This Row],[d18Oc eq]]-(((EXP((17570/(273.15+Tableau4[[#This Row],[MAT (°C)]]+Tableau4[[#This Row],[T-var (°C)]])-29.13)/1000)*(1000+Tableau4[[#This Row],[d18Osw_L.S (‰VSMOW)]]-Tableau4[[#This Row],[d18Osw_L.S_E (‰VSMOW)]]))-1000)-30.92)/1.03092</f>
        <v>0.33899213870711864</v>
      </c>
      <c r="AC42" s="8">
        <f>Tableau4[[#This Row],[d18O (‰VPDB)]]-Tableau4[[#This Row],[d18Oc eq]]</f>
        <v>-0.77791860112392619</v>
      </c>
      <c r="AD42" s="8">
        <f>Tableau4[[#This Row],[d18Oc eq SD]]+Tableau4[[#This Row],[d18O_CI (‰VPDB)]]</f>
        <v>0.43899213870711862</v>
      </c>
      <c r="AE42" s="16"/>
      <c r="AF42" s="16"/>
      <c r="AG42" s="16"/>
      <c r="AH42" s="16"/>
      <c r="AI42" s="2">
        <v>8.2529153297123159</v>
      </c>
      <c r="AJ42" s="2">
        <v>0.8452564169768102</v>
      </c>
      <c r="AK42" s="2">
        <v>18.766114964731713</v>
      </c>
      <c r="AL42" s="2">
        <v>6.8093101644599408</v>
      </c>
    </row>
    <row r="43" spans="1:38" x14ac:dyDescent="0.3">
      <c r="A43" s="1" t="s">
        <v>47</v>
      </c>
      <c r="B43" s="1">
        <v>-18.98</v>
      </c>
      <c r="C43" s="1">
        <v>163.4</v>
      </c>
      <c r="D43" s="1">
        <v>320</v>
      </c>
      <c r="E43" s="1" t="s">
        <v>32</v>
      </c>
      <c r="F43" s="1" t="s">
        <v>38</v>
      </c>
      <c r="G43" s="1" t="s">
        <v>34</v>
      </c>
      <c r="H43" s="1" t="s">
        <v>93</v>
      </c>
      <c r="I43" s="1">
        <v>16.399999999999999</v>
      </c>
      <c r="J43" s="1">
        <v>0.7</v>
      </c>
      <c r="K43" s="1">
        <v>35.4</v>
      </c>
      <c r="L43" s="1">
        <v>0.02</v>
      </c>
      <c r="M43" s="2">
        <f>K43*0.27-8.88</f>
        <v>0.67799999999999905</v>
      </c>
      <c r="N43" s="2">
        <v>7.8E-2</v>
      </c>
      <c r="O43" s="1" t="s">
        <v>45</v>
      </c>
      <c r="P43" s="6">
        <v>1.98</v>
      </c>
      <c r="Q43" s="7">
        <v>0.05</v>
      </c>
      <c r="R43" s="6">
        <v>0.90900000000000003</v>
      </c>
      <c r="S43" s="1">
        <v>0.1</v>
      </c>
      <c r="T43" s="8"/>
      <c r="U43" s="8"/>
      <c r="V43" s="1" t="s">
        <v>39</v>
      </c>
      <c r="W43" s="2">
        <f t="shared" si="5"/>
        <v>0.51100000000000101</v>
      </c>
      <c r="X43" s="2">
        <f t="shared" si="6"/>
        <v>0.17799999999999999</v>
      </c>
      <c r="Y43" s="8"/>
      <c r="Z43" s="8"/>
      <c r="AA43" s="8">
        <f>(((EXP((17570/(273.15+Tableau4[[#This Row],[MAT (°C)]])-29.13)/1000)*(1000+Tableau4[[#This Row],[d18Osw_L.S (‰VSMOW)]]))-1000)-30.92)/1.03092</f>
        <v>1.7781078536487218</v>
      </c>
      <c r="AB43" s="8">
        <f>Tableau4[[#This Row],[d18Oc eq]]-(((EXP((17570/(273.15+Tableau4[[#This Row],[MAT (°C)]]+Tableau4[[#This Row],[T-var (°C)]])-29.13)/1000)*(1000+Tableau4[[#This Row],[d18Osw_L.S (‰VSMOW)]]-Tableau4[[#This Row],[d18Osw_L.S_E (‰VSMOW)]]))-1000)-30.92)/1.03092</f>
        <v>0.22466750268131364</v>
      </c>
      <c r="AC43" s="8">
        <f>Tableau4[[#This Row],[d18O (‰VPDB)]]-Tableau4[[#This Row],[d18Oc eq]]</f>
        <v>-0.86910785364872178</v>
      </c>
      <c r="AD43" s="8">
        <f>Tableau4[[#This Row],[d18Oc eq SD]]+Tableau4[[#This Row],[d18O_CI (‰VPDB)]]</f>
        <v>0.32466750268131361</v>
      </c>
      <c r="AE43" s="16"/>
      <c r="AF43" s="16"/>
      <c r="AG43" s="16"/>
      <c r="AH43" s="16"/>
      <c r="AI43" s="2">
        <v>10.715258496203083</v>
      </c>
      <c r="AJ43" s="2">
        <v>0.94450000318116745</v>
      </c>
      <c r="AK43" s="2">
        <v>26.914900418392612</v>
      </c>
      <c r="AL43" s="2">
        <v>8.2489612466331206</v>
      </c>
    </row>
    <row r="44" spans="1:38" x14ac:dyDescent="0.3">
      <c r="A44" s="1" t="s">
        <v>48</v>
      </c>
      <c r="B44" s="1">
        <v>-18.98</v>
      </c>
      <c r="C44" s="1">
        <v>163.4</v>
      </c>
      <c r="D44" s="1">
        <v>320</v>
      </c>
      <c r="E44" s="1" t="s">
        <v>32</v>
      </c>
      <c r="F44" s="1" t="s">
        <v>33</v>
      </c>
      <c r="G44" s="1" t="s">
        <v>34</v>
      </c>
      <c r="H44" s="1" t="s">
        <v>93</v>
      </c>
      <c r="I44" s="1">
        <v>16.399999999999999</v>
      </c>
      <c r="J44" s="1">
        <v>0.7</v>
      </c>
      <c r="K44" s="1">
        <v>35.4</v>
      </c>
      <c r="L44" s="1">
        <v>0.02</v>
      </c>
      <c r="M44" s="2">
        <f>K44*0.27-8.88</f>
        <v>0.67799999999999905</v>
      </c>
      <c r="N44" s="2">
        <v>7.8E-2</v>
      </c>
      <c r="O44" s="1" t="s">
        <v>45</v>
      </c>
      <c r="P44" s="6">
        <v>1.87</v>
      </c>
      <c r="Q44" s="7">
        <v>0.01</v>
      </c>
      <c r="R44" s="6">
        <v>0.91</v>
      </c>
      <c r="S44" s="1">
        <v>0.02</v>
      </c>
      <c r="T44" s="8">
        <v>0.63880000000000003</v>
      </c>
      <c r="U44" s="8">
        <v>1.09E-2</v>
      </c>
      <c r="V44" s="1" t="s">
        <v>36</v>
      </c>
      <c r="W44" s="2">
        <f t="shared" si="5"/>
        <v>0.51200000000000101</v>
      </c>
      <c r="X44" s="2">
        <f t="shared" si="6"/>
        <v>9.8000000000000004E-2</v>
      </c>
      <c r="Y44" s="9">
        <f>SQRT((39100)/(T44-0.154))-273.15</f>
        <v>10.842632266258192</v>
      </c>
      <c r="Z44" s="9">
        <f>U44*((39100/((T44-0.154)^2))/(2*(Y44+273.15)))</f>
        <v>3.1925739394618549</v>
      </c>
      <c r="AA44" s="2">
        <f>(((EXP((17570/(273.15+Tableau4[[#This Row],[MAT (°C)]])-29.13)/1000)*(1000+Tableau4[[#This Row],[d18Osw_L.S (‰VSMOW)]]))-1000)-30.92)/1.03092</f>
        <v>1.7781078536487218</v>
      </c>
      <c r="AB44" s="2">
        <f>Tableau4[[#This Row],[d18Oc eq]]-(((EXP((17570/(273.15+Tableau4[[#This Row],[MAT (°C)]]+Tableau4[[#This Row],[T-var (°C)]])-29.13)/1000)*(1000+Tableau4[[#This Row],[d18Osw_L.S (‰VSMOW)]]-Tableau4[[#This Row],[d18Osw_L.S_E (‰VSMOW)]]))-1000)-30.92)/1.03092</f>
        <v>0.22466750268131364</v>
      </c>
      <c r="AC44" s="2">
        <f>Tableau4[[#This Row],[d18O (‰VPDB)]]-Tableau4[[#This Row],[d18Oc eq]]</f>
        <v>-0.86810785364872178</v>
      </c>
      <c r="AD44" s="2">
        <f>Tableau4[[#This Row],[d18Oc eq SD]]+Tableau4[[#This Row],[d18O_CI (‰VPDB)]]</f>
        <v>0.24466750268131363</v>
      </c>
      <c r="AE44" s="16">
        <f>0.0391*(1000000/((273.15+Tableau4[[#This Row],[MAT (°C)]])^2))+0.154</f>
        <v>0.62036893999558285</v>
      </c>
      <c r="AF44" s="16">
        <f>Tableau4[[#This Row],[D47 eq]]-(0.0391*(1000000/((273.15+Tableau4[[#This Row],[MAT (°C)]]+Tableau4[[#This Row],[T-var (°C)]])^2))+0.154)</f>
        <v>2.2467844686637761E-3</v>
      </c>
      <c r="AG44" s="16">
        <f>Tableau4[[#This Row],[D47 (‰ICDES)]]-Tableau4[[#This Row],[D47 eq]]</f>
        <v>1.8431060004417188E-2</v>
      </c>
      <c r="AH44" s="16">
        <f>Tableau4[[#This Row],[D47 eq SD]]+Tableau4[[#This Row],[D47_CI]]</f>
        <v>1.3146784468663776E-2</v>
      </c>
      <c r="AI44" s="8"/>
      <c r="AJ44" s="8"/>
      <c r="AK44" s="8"/>
      <c r="AL44" s="8"/>
    </row>
    <row r="45" spans="1:38" x14ac:dyDescent="0.3">
      <c r="A45" s="3" t="s">
        <v>49</v>
      </c>
      <c r="B45" s="4">
        <v>15.8833333</v>
      </c>
      <c r="C45" s="4">
        <v>-61.4166666666666</v>
      </c>
      <c r="D45" s="5">
        <v>264</v>
      </c>
      <c r="E45" s="1" t="s">
        <v>32</v>
      </c>
      <c r="F45" s="1" t="s">
        <v>33</v>
      </c>
      <c r="G45" s="1" t="s">
        <v>34</v>
      </c>
      <c r="H45" s="1" t="s">
        <v>93</v>
      </c>
      <c r="I45" s="1">
        <v>16.600000000000001</v>
      </c>
      <c r="J45" s="1">
        <v>1</v>
      </c>
      <c r="K45" s="1">
        <v>36.22</v>
      </c>
      <c r="L45" s="1">
        <v>0.04</v>
      </c>
      <c r="M45" s="4">
        <f>K45*0.15-4.61</f>
        <v>0.82299999999999951</v>
      </c>
      <c r="N45" s="2">
        <v>0.13100000000000001</v>
      </c>
      <c r="O45" s="1" t="s">
        <v>35</v>
      </c>
      <c r="P45" s="6">
        <v>1.4570000000000001</v>
      </c>
      <c r="Q45" s="7">
        <v>0.05</v>
      </c>
      <c r="R45" s="6">
        <v>1.081</v>
      </c>
      <c r="S45" s="1">
        <v>0.1</v>
      </c>
      <c r="T45" s="8"/>
      <c r="U45" s="8"/>
      <c r="V45" s="1" t="s">
        <v>39</v>
      </c>
      <c r="W45" s="2">
        <f t="shared" si="5"/>
        <v>0.53800000000000048</v>
      </c>
      <c r="X45" s="2">
        <f t="shared" si="6"/>
        <v>0.23100000000000001</v>
      </c>
      <c r="Y45" s="8"/>
      <c r="Z45" s="8"/>
      <c r="AA45" s="8">
        <f>(((EXP((17570/(273.15+Tableau4[[#This Row],[MAT (°C)]])-29.13)/1000)*(1000+Tableau4[[#This Row],[d18Osw_L.S (‰VSMOW)]]))-1000)-30.92)/1.03092</f>
        <v>1.881302948917146</v>
      </c>
      <c r="AB45" s="8">
        <f>Tableau4[[#This Row],[d18Oc eq]]-(((EXP((17570/(273.15+Tableau4[[#This Row],[MAT (°C)]]+Tableau4[[#This Row],[T-var (°C)]])-29.13)/1000)*(1000+Tableau4[[#This Row],[d18Osw_L.S (‰VSMOW)]]-Tableau4[[#This Row],[d18Osw_L.S_E (‰VSMOW)]]))-1000)-30.92)/1.03092</f>
        <v>0.34004058658917691</v>
      </c>
      <c r="AC45" s="8">
        <f>Tableau4[[#This Row],[d18O (‰VPDB)]]-Tableau4[[#This Row],[d18Oc eq]]</f>
        <v>-0.80030294891714604</v>
      </c>
      <c r="AD45" s="8">
        <f>Tableau4[[#This Row],[d18Oc eq SD]]+Tableau4[[#This Row],[d18O_CI (‰VPDB)]]</f>
        <v>0.44004058658917689</v>
      </c>
      <c r="AE45" s="16"/>
      <c r="AF45" s="16"/>
      <c r="AG45" s="16"/>
      <c r="AH45" s="16"/>
      <c r="AI45" s="2">
        <v>15.55573576761436</v>
      </c>
      <c r="AJ45" s="2">
        <v>1.1189885958750796</v>
      </c>
      <c r="AK45" s="2">
        <v>30.039750400289243</v>
      </c>
      <c r="AL45" s="2">
        <v>10.067449556058905</v>
      </c>
    </row>
    <row r="46" spans="1:38" ht="28.8" x14ac:dyDescent="0.3">
      <c r="A46" s="3" t="s">
        <v>50</v>
      </c>
      <c r="B46" s="4">
        <v>-43.574166699999999</v>
      </c>
      <c r="C46" s="4">
        <v>172.66861111111101</v>
      </c>
      <c r="D46" s="5">
        <v>20</v>
      </c>
      <c r="E46" s="3" t="s">
        <v>51</v>
      </c>
      <c r="F46" s="1" t="s">
        <v>33</v>
      </c>
      <c r="G46" s="1" t="s">
        <v>34</v>
      </c>
      <c r="H46" s="1" t="s">
        <v>93</v>
      </c>
      <c r="I46" s="1">
        <v>14</v>
      </c>
      <c r="J46" s="1">
        <v>4</v>
      </c>
      <c r="K46" s="4">
        <v>33.4</v>
      </c>
      <c r="L46" s="4">
        <v>0.9</v>
      </c>
      <c r="M46" s="4">
        <f>K46*0.45-15.29</f>
        <v>-0.25999999999999979</v>
      </c>
      <c r="N46" s="2">
        <v>0.08</v>
      </c>
      <c r="O46" s="1" t="s">
        <v>52</v>
      </c>
      <c r="P46" s="2">
        <v>0.43099999999999999</v>
      </c>
      <c r="Q46" s="1">
        <v>0.05</v>
      </c>
      <c r="R46" s="2">
        <v>-0.52900000000000003</v>
      </c>
      <c r="S46" s="1">
        <v>0.1</v>
      </c>
      <c r="T46" s="8"/>
      <c r="U46" s="8"/>
      <c r="V46" s="1" t="s">
        <v>39</v>
      </c>
      <c r="W46" s="2">
        <f t="shared" si="5"/>
        <v>1.0999999999999788E-2</v>
      </c>
      <c r="X46" s="2">
        <f t="shared" si="6"/>
        <v>0.18</v>
      </c>
      <c r="Y46" s="8"/>
      <c r="Z46" s="8"/>
      <c r="AA46" s="8">
        <f>(((EXP((17570/(273.15+Tableau4[[#This Row],[MAT (°C)]])-29.13)/1000)*(1000+Tableau4[[#This Row],[d18Osw_L.S (‰VSMOW)]]))-1000)-30.92)/1.03092</f>
        <v>1.3467975050324301</v>
      </c>
      <c r="AB46" s="8">
        <f>Tableau4[[#This Row],[d18Oc eq]]-(((EXP((17570/(273.15+Tableau4[[#This Row],[MAT (°C)]]+Tableau4[[#This Row],[T-var (°C)]])-29.13)/1000)*(1000+Tableau4[[#This Row],[d18Osw_L.S (‰VSMOW)]]-Tableau4[[#This Row],[d18Osw_L.S_E (‰VSMOW)]]))-1000)-30.92)/1.03092</f>
        <v>0.92147212551296587</v>
      </c>
      <c r="AC46" s="8">
        <f>Tableau4[[#This Row],[d18O (‰VPDB)]]-Tableau4[[#This Row],[d18Oc eq]]</f>
        <v>-1.87579750503243</v>
      </c>
      <c r="AD46" s="8">
        <f>Tableau4[[#This Row],[d18Oc eq SD]]+Tableau4[[#This Row],[d18O_CI (‰VPDB)]]</f>
        <v>1.021472125512966</v>
      </c>
      <c r="AE46" s="16"/>
      <c r="AF46" s="16"/>
      <c r="AG46" s="16"/>
      <c r="AH46" s="16"/>
      <c r="AI46" s="8"/>
      <c r="AJ46" s="8"/>
      <c r="AK46" s="8"/>
      <c r="AL46" s="8"/>
    </row>
    <row r="47" spans="1:38" ht="28.8" x14ac:dyDescent="0.3">
      <c r="A47" s="3" t="s">
        <v>53</v>
      </c>
      <c r="B47" s="4">
        <v>-45.347666699999998</v>
      </c>
      <c r="C47" s="4">
        <v>167.047666666666</v>
      </c>
      <c r="D47" s="12">
        <v>17.5</v>
      </c>
      <c r="E47" s="3" t="s">
        <v>51</v>
      </c>
      <c r="F47" s="1" t="s">
        <v>33</v>
      </c>
      <c r="G47" s="1" t="s">
        <v>34</v>
      </c>
      <c r="H47" s="1" t="s">
        <v>93</v>
      </c>
      <c r="I47" s="1">
        <v>13.6</v>
      </c>
      <c r="J47" s="1">
        <v>2.2999999999999998</v>
      </c>
      <c r="K47" s="4">
        <v>34.700000000000003</v>
      </c>
      <c r="L47" s="4"/>
      <c r="M47" s="4">
        <f>K47*0.45-15.29</f>
        <v>0.32500000000000284</v>
      </c>
      <c r="N47" s="2">
        <v>0.08</v>
      </c>
      <c r="O47" s="1" t="s">
        <v>52</v>
      </c>
      <c r="P47" s="6">
        <v>-1.5369999999999999</v>
      </c>
      <c r="Q47" s="7">
        <v>0.05</v>
      </c>
      <c r="R47" s="6">
        <v>-0.63100000000000001</v>
      </c>
      <c r="S47" s="1">
        <v>0.1</v>
      </c>
      <c r="T47" s="8"/>
      <c r="U47" s="8"/>
      <c r="V47" s="1" t="s">
        <v>39</v>
      </c>
      <c r="W47" s="2">
        <f t="shared" si="5"/>
        <v>-0.67600000000000282</v>
      </c>
      <c r="X47" s="2">
        <f t="shared" si="6"/>
        <v>0.18</v>
      </c>
      <c r="Y47" s="8"/>
      <c r="Z47" s="8"/>
      <c r="AA47" s="8">
        <f>(((EXP((17570/(273.15+Tableau4[[#This Row],[MAT (°C)]])-29.13)/1000)*(1000+Tableau4[[#This Row],[d18Osw_L.S (‰VSMOW)]]))-1000)-30.92)/1.03092</f>
        <v>2.0182594815619392</v>
      </c>
      <c r="AB47" s="8">
        <f>Tableau4[[#This Row],[d18Oc eq]]-(((EXP((17570/(273.15+Tableau4[[#This Row],[MAT (°C)]]+Tableau4[[#This Row],[T-var (°C)]])-29.13)/1000)*(1000+Tableau4[[#This Row],[d18Osw_L.S (‰VSMOW)]]-Tableau4[[#This Row],[d18Osw_L.S_E (‰VSMOW)]]))-1000)-30.92)/1.03092</f>
        <v>0.5685158236507557</v>
      </c>
      <c r="AC47" s="8">
        <f>Tableau4[[#This Row],[d18O (‰VPDB)]]-Tableau4[[#This Row],[d18Oc eq]]</f>
        <v>-2.6492594815619395</v>
      </c>
      <c r="AD47" s="8">
        <f>Tableau4[[#This Row],[d18Oc eq SD]]+Tableau4[[#This Row],[d18O_CI (‰VPDB)]]</f>
        <v>0.66851582365075568</v>
      </c>
      <c r="AE47" s="16"/>
      <c r="AF47" s="16"/>
      <c r="AG47" s="16"/>
      <c r="AH47" s="16"/>
      <c r="AI47" s="2">
        <v>6.6943310245743799</v>
      </c>
      <c r="AJ47" s="2">
        <v>1.4622049074918091</v>
      </c>
      <c r="AK47" s="2">
        <v>40.840704556268726</v>
      </c>
      <c r="AL47" s="2">
        <v>13.247640279804337</v>
      </c>
    </row>
    <row r="48" spans="1:38" x14ac:dyDescent="0.3">
      <c r="A48" s="3" t="s">
        <v>54</v>
      </c>
      <c r="B48" s="4">
        <v>-45.325000000000003</v>
      </c>
      <c r="C48" s="4">
        <v>166.98999999999899</v>
      </c>
      <c r="D48" s="5">
        <v>25</v>
      </c>
      <c r="E48" s="1" t="s">
        <v>32</v>
      </c>
      <c r="F48" s="1" t="s">
        <v>33</v>
      </c>
      <c r="G48" s="1" t="s">
        <v>34</v>
      </c>
      <c r="H48" s="1" t="s">
        <v>93</v>
      </c>
      <c r="I48" s="1">
        <v>13.2</v>
      </c>
      <c r="J48" s="1">
        <v>2.5</v>
      </c>
      <c r="K48" s="4">
        <v>34.700000000000003</v>
      </c>
      <c r="L48" s="4"/>
      <c r="M48" s="4">
        <f>K48*0.45-15.29</f>
        <v>0.32500000000000284</v>
      </c>
      <c r="N48" s="2">
        <v>0.08</v>
      </c>
      <c r="O48" s="1" t="s">
        <v>52</v>
      </c>
      <c r="P48" s="2">
        <v>1.929</v>
      </c>
      <c r="Q48" s="1">
        <v>0.05</v>
      </c>
      <c r="R48" s="2">
        <v>1.0469999999999999</v>
      </c>
      <c r="S48" s="1">
        <v>0.1</v>
      </c>
      <c r="T48" s="8"/>
      <c r="U48" s="8"/>
      <c r="V48" s="1" t="s">
        <v>39</v>
      </c>
      <c r="W48" s="2">
        <f t="shared" si="5"/>
        <v>1.0019999999999971</v>
      </c>
      <c r="X48" s="2">
        <f t="shared" si="6"/>
        <v>0.18</v>
      </c>
      <c r="Y48" s="1"/>
      <c r="Z48" s="1"/>
      <c r="AA48" s="2">
        <f>(((EXP((17570/(273.15+Tableau4[[#This Row],[MAT (°C)]])-29.13)/1000)*(1000+Tableau4[[#This Row],[d18Osw_L.S (‰VSMOW)]]))-1000)-30.92)/1.03092</f>
        <v>2.1040274968734232</v>
      </c>
      <c r="AB48" s="2">
        <f>Tableau4[[#This Row],[d18Oc eq]]-(((EXP((17570/(273.15+Tableau4[[#This Row],[MAT (°C)]]+Tableau4[[#This Row],[T-var (°C)]])-29.13)/1000)*(1000+Tableau4[[#This Row],[d18Osw_L.S (‰VSMOW)]]-Tableau4[[#This Row],[d18Osw_L.S_E (‰VSMOW)]]))-1000)-30.92)/1.03092</f>
        <v>0.61213411734941148</v>
      </c>
      <c r="AC48" s="2">
        <f>Tableau4[[#This Row],[d18O (‰VPDB)]]-Tableau4[[#This Row],[d18Oc eq]]</f>
        <v>-1.0570274968734232</v>
      </c>
      <c r="AD48" s="2">
        <f>Tableau4[[#This Row],[d18Oc eq SD]]+Tableau4[[#This Row],[d18O_CI (‰VPDB)]]</f>
        <v>0.71213411734941146</v>
      </c>
      <c r="AE48" s="16"/>
      <c r="AF48" s="16"/>
      <c r="AG48" s="16"/>
      <c r="AH48" s="16"/>
      <c r="AI48" s="2">
        <v>12.502777767166149</v>
      </c>
      <c r="AJ48" s="2">
        <v>1.4283304320921459</v>
      </c>
      <c r="AK48" s="2">
        <v>35.065249054863997</v>
      </c>
      <c r="AL48" s="2">
        <v>12.779117519307242</v>
      </c>
    </row>
    <row r="49" spans="1:38" x14ac:dyDescent="0.3">
      <c r="A49" s="1" t="s">
        <v>58</v>
      </c>
      <c r="B49" s="1">
        <v>-22.98</v>
      </c>
      <c r="C49" s="1">
        <v>167.32</v>
      </c>
      <c r="D49" s="1">
        <v>525</v>
      </c>
      <c r="E49" s="1" t="s">
        <v>32</v>
      </c>
      <c r="F49" s="1" t="s">
        <v>33</v>
      </c>
      <c r="G49" s="1" t="s">
        <v>34</v>
      </c>
      <c r="H49" s="1" t="s">
        <v>93</v>
      </c>
      <c r="I49" s="1">
        <v>10</v>
      </c>
      <c r="J49" s="1">
        <v>0.9</v>
      </c>
      <c r="K49" s="1">
        <v>34.76</v>
      </c>
      <c r="L49" s="1">
        <v>0.01</v>
      </c>
      <c r="M49" s="2">
        <f>K49*0.27-8.88</f>
        <v>0.50519999999999854</v>
      </c>
      <c r="N49" s="2">
        <v>7.8E-2</v>
      </c>
      <c r="O49" s="1" t="s">
        <v>45</v>
      </c>
      <c r="P49" s="6">
        <v>2.335</v>
      </c>
      <c r="Q49" s="7">
        <v>0.05</v>
      </c>
      <c r="R49" s="6">
        <v>2.028</v>
      </c>
      <c r="S49" s="1">
        <v>0.1</v>
      </c>
      <c r="T49" s="8"/>
      <c r="U49" s="8"/>
      <c r="V49" s="1" t="s">
        <v>39</v>
      </c>
      <c r="W49" s="2">
        <f t="shared" si="5"/>
        <v>1.8028000000000015</v>
      </c>
      <c r="X49" s="2">
        <f t="shared" si="6"/>
        <v>0.17799999999999999</v>
      </c>
      <c r="Y49" s="8"/>
      <c r="Z49" s="8"/>
      <c r="AA49" s="8">
        <f>(((EXP((17570/(273.15+Tableau4[[#This Row],[MAT (°C)]])-29.13)/1000)*(1000+Tableau4[[#This Row],[d18Osw_L.S (‰VSMOW)]]))-1000)-30.92)/1.03092</f>
        <v>2.9798117584229438</v>
      </c>
      <c r="AB49" s="8">
        <f>Tableau4[[#This Row],[d18Oc eq]]-(((EXP((17570/(273.15+Tableau4[[#This Row],[MAT (°C)]]+Tableau4[[#This Row],[T-var (°C)]])-29.13)/1000)*(1000+Tableau4[[#This Row],[d18Osw_L.S (‰VSMOW)]]-Tableau4[[#This Row],[d18Osw_L.S_E (‰VSMOW)]]))-1000)-30.92)/1.03092</f>
        <v>0.27535280505923598</v>
      </c>
      <c r="AC49" s="8">
        <f>Tableau4[[#This Row],[d18O (‰VPDB)]]-Tableau4[[#This Row],[d18Oc eq]]</f>
        <v>-0.95181175842294374</v>
      </c>
      <c r="AD49" s="8">
        <f>Tableau4[[#This Row],[d18Oc eq SD]]+Tableau4[[#This Row],[d18O_CI (‰VPDB)]]</f>
        <v>0.37535280505923596</v>
      </c>
      <c r="AE49" s="16"/>
      <c r="AF49" s="16"/>
      <c r="AG49" s="16"/>
      <c r="AH49" s="16"/>
      <c r="AI49" s="2">
        <v>13.208636870460555</v>
      </c>
      <c r="AJ49" s="2">
        <v>1.0685538661387579</v>
      </c>
      <c r="AK49" s="2">
        <v>28.899475691238319</v>
      </c>
      <c r="AL49" s="2">
        <v>10.461549363398115</v>
      </c>
    </row>
    <row r="50" spans="1:38" ht="28.8" x14ac:dyDescent="0.3">
      <c r="A50" s="3" t="s">
        <v>59</v>
      </c>
      <c r="B50" s="2">
        <v>63.866666700000003</v>
      </c>
      <c r="C50" s="2">
        <v>11.066666666666601</v>
      </c>
      <c r="D50" s="12">
        <v>70</v>
      </c>
      <c r="E50" s="3" t="s">
        <v>51</v>
      </c>
      <c r="F50" s="1" t="s">
        <v>33</v>
      </c>
      <c r="G50" s="1" t="s">
        <v>34</v>
      </c>
      <c r="H50" s="1" t="s">
        <v>93</v>
      </c>
      <c r="I50" s="1">
        <v>7</v>
      </c>
      <c r="J50" s="1">
        <v>1</v>
      </c>
      <c r="K50" s="1">
        <v>33.5</v>
      </c>
      <c r="L50" s="1">
        <v>0.5</v>
      </c>
      <c r="M50" s="2">
        <f>K50*0.55-18.98</f>
        <v>-0.55499999999999972</v>
      </c>
      <c r="N50" s="2">
        <v>0.193</v>
      </c>
      <c r="O50" s="1" t="s">
        <v>60</v>
      </c>
      <c r="P50" s="2">
        <v>-1.316272268139338</v>
      </c>
      <c r="Q50" s="7">
        <v>0.05</v>
      </c>
      <c r="R50" s="2">
        <v>0.53984602694443495</v>
      </c>
      <c r="S50" s="1">
        <v>0.1</v>
      </c>
      <c r="T50" s="8"/>
      <c r="U50" s="8"/>
      <c r="V50" s="1" t="s">
        <v>39</v>
      </c>
      <c r="W50" s="2">
        <f t="shared" si="5"/>
        <v>1.3748460269444347</v>
      </c>
      <c r="X50" s="2">
        <f t="shared" si="6"/>
        <v>0.29300000000000004</v>
      </c>
      <c r="Y50" s="8"/>
      <c r="Z50" s="8"/>
      <c r="AA50" s="8">
        <f>(((EXP((17570/(273.15+Tableau4[[#This Row],[MAT (°C)]])-29.13)/1000)*(1000+Tableau4[[#This Row],[d18Osw_L.S (‰VSMOW)]]))-1000)-30.92)/1.03092</f>
        <v>2.5829705374058336</v>
      </c>
      <c r="AB50" s="8">
        <f>Tableau4[[#This Row],[d18Oc eq]]-(((EXP((17570/(273.15+Tableau4[[#This Row],[MAT (°C)]]+Tableau4[[#This Row],[T-var (°C)]])-29.13)/1000)*(1000+Tableau4[[#This Row],[d18Osw_L.S (‰VSMOW)]]-Tableau4[[#This Row],[d18Osw_L.S_E (‰VSMOW)]]))-1000)-30.92)/1.03092</f>
        <v>0.41718498998331155</v>
      </c>
      <c r="AC50" s="8">
        <f>Tableau4[[#This Row],[d18O (‰VPDB)]]-Tableau4[[#This Row],[d18Oc eq]]</f>
        <v>-2.0431245104613986</v>
      </c>
      <c r="AD50" s="8">
        <f>Tableau4[[#This Row],[d18Oc eq SD]]+Tableau4[[#This Row],[d18O_CI (‰VPDB)]]</f>
        <v>0.51718498998331153</v>
      </c>
      <c r="AE50" s="16"/>
      <c r="AF50" s="16"/>
      <c r="AG50" s="16"/>
      <c r="AH50" s="16"/>
      <c r="AI50" s="8"/>
      <c r="AJ50" s="8"/>
      <c r="AK50" s="8"/>
      <c r="AL50" s="8"/>
    </row>
    <row r="51" spans="1:38" ht="28.8" x14ac:dyDescent="0.3">
      <c r="A51" s="3" t="s">
        <v>61</v>
      </c>
      <c r="B51" s="2">
        <v>-45.856666699999998</v>
      </c>
      <c r="C51" s="2">
        <v>50.733333333333299</v>
      </c>
      <c r="D51" s="12">
        <v>140</v>
      </c>
      <c r="E51" s="3" t="s">
        <v>51</v>
      </c>
      <c r="F51" s="1" t="s">
        <v>33</v>
      </c>
      <c r="G51" s="1" t="s">
        <v>34</v>
      </c>
      <c r="H51" s="1" t="s">
        <v>93</v>
      </c>
      <c r="I51" s="13">
        <v>4.2</v>
      </c>
      <c r="J51" s="13">
        <v>0.6</v>
      </c>
      <c r="K51" s="4">
        <v>33.899000000000001</v>
      </c>
      <c r="L51" s="4">
        <v>0.01</v>
      </c>
      <c r="M51" s="4">
        <f t="shared" ref="M51:M59" si="7">K51*0.24-8.45</f>
        <v>-0.31423999999999985</v>
      </c>
      <c r="N51" s="2">
        <v>0.13200000000000001</v>
      </c>
      <c r="O51" s="1" t="s">
        <v>62</v>
      </c>
      <c r="P51" s="2">
        <v>-1.0841434211625458</v>
      </c>
      <c r="Q51" s="1">
        <v>0.05</v>
      </c>
      <c r="R51" s="2">
        <v>1.1540006784648504</v>
      </c>
      <c r="S51" s="1">
        <v>0.1</v>
      </c>
      <c r="T51" s="8"/>
      <c r="U51" s="8"/>
      <c r="V51" s="1" t="s">
        <v>39</v>
      </c>
      <c r="W51" s="2">
        <f t="shared" si="5"/>
        <v>1.7482406784648503</v>
      </c>
      <c r="X51" s="2">
        <f t="shared" si="6"/>
        <v>0.23200000000000001</v>
      </c>
      <c r="Y51" s="8"/>
      <c r="Z51" s="8"/>
      <c r="AA51" s="8">
        <f>(((EXP((17570/(273.15+Tableau4[[#This Row],[MAT (°C)]])-29.13)/1000)*(1000+Tableau4[[#This Row],[d18Osw_L.S (‰VSMOW)]]))-1000)-30.92)/1.03092</f>
        <v>3.4596322407427689</v>
      </c>
      <c r="AB51" s="8">
        <f>Tableau4[[#This Row],[d18Oc eq]]-(((EXP((17570/(273.15+Tableau4[[#This Row],[MAT (°C)]]+Tableau4[[#This Row],[T-var (°C)]])-29.13)/1000)*(1000+Tableau4[[#This Row],[d18Osw_L.S (‰VSMOW)]]-Tableau4[[#This Row],[d18Osw_L.S_E (‰VSMOW)]]))-1000)-30.92)/1.03092</f>
        <v>0.269694173967161</v>
      </c>
      <c r="AC51" s="8">
        <f>Tableau4[[#This Row],[d18O (‰VPDB)]]-Tableau4[[#This Row],[d18Oc eq]]</f>
        <v>-2.3056315622779184</v>
      </c>
      <c r="AD51" s="8">
        <f>Tableau4[[#This Row],[d18Oc eq SD]]+Tableau4[[#This Row],[d18O_CI (‰VPDB)]]</f>
        <v>0.36969417396716098</v>
      </c>
      <c r="AE51" s="16"/>
      <c r="AF51" s="16"/>
      <c r="AG51" s="16"/>
      <c r="AH51" s="16"/>
      <c r="AI51" s="2">
        <v>6.5706790055121393</v>
      </c>
      <c r="AJ51" s="2">
        <v>1.3318339890419271</v>
      </c>
      <c r="AK51" s="2">
        <v>49.672085803904146</v>
      </c>
      <c r="AL51" s="2">
        <v>12.995161186202242</v>
      </c>
    </row>
    <row r="52" spans="1:38" ht="28.8" x14ac:dyDescent="0.3">
      <c r="A52" s="3" t="s">
        <v>63</v>
      </c>
      <c r="B52" s="2">
        <v>-46.466666699999998</v>
      </c>
      <c r="C52" s="2">
        <v>51.886666666666599</v>
      </c>
      <c r="D52" s="12">
        <v>105</v>
      </c>
      <c r="E52" s="3" t="s">
        <v>51</v>
      </c>
      <c r="F52" s="1" t="s">
        <v>33</v>
      </c>
      <c r="G52" s="1" t="s">
        <v>34</v>
      </c>
      <c r="H52" s="1" t="s">
        <v>93</v>
      </c>
      <c r="I52" s="13">
        <v>4</v>
      </c>
      <c r="J52" s="13">
        <v>0.6</v>
      </c>
      <c r="K52" s="4">
        <v>33.847999999999999</v>
      </c>
      <c r="L52" s="4">
        <v>0.01</v>
      </c>
      <c r="M52" s="4">
        <f t="shared" si="7"/>
        <v>-0.3264800000000001</v>
      </c>
      <c r="N52" s="2">
        <v>0.13200000000000001</v>
      </c>
      <c r="O52" s="1" t="s">
        <v>62</v>
      </c>
      <c r="P52" s="2">
        <v>-2.2380204489134723</v>
      </c>
      <c r="Q52" s="1">
        <v>0.05</v>
      </c>
      <c r="R52" s="2">
        <v>0.31067673834260745</v>
      </c>
      <c r="S52" s="1">
        <v>0.1</v>
      </c>
      <c r="T52" s="8"/>
      <c r="U52" s="8"/>
      <c r="V52" s="1" t="s">
        <v>39</v>
      </c>
      <c r="W52" s="2">
        <f t="shared" si="5"/>
        <v>0.91715673834260758</v>
      </c>
      <c r="X52" s="2">
        <f t="shared" si="6"/>
        <v>0.23200000000000001</v>
      </c>
      <c r="Y52" s="8"/>
      <c r="Z52" s="8"/>
      <c r="AA52" s="8">
        <f>(((EXP((17570/(273.15+Tableau4[[#This Row],[MAT (°C)]])-29.13)/1000)*(1000+Tableau4[[#This Row],[d18Osw_L.S (‰VSMOW)]]))-1000)-30.92)/1.03092</f>
        <v>3.4932196758772065</v>
      </c>
      <c r="AB52" s="8">
        <f>Tableau4[[#This Row],[d18Oc eq]]-(((EXP((17570/(273.15+Tableau4[[#This Row],[MAT (°C)]]+Tableau4[[#This Row],[T-var (°C)]])-29.13)/1000)*(1000+Tableau4[[#This Row],[d18Osw_L.S (‰VSMOW)]]-Tableau4[[#This Row],[d18Osw_L.S_E (‰VSMOW)]]))-1000)-30.92)/1.03092</f>
        <v>0.26990268325496647</v>
      </c>
      <c r="AC52" s="8">
        <f>Tableau4[[#This Row],[d18O (‰VPDB)]]-Tableau4[[#This Row],[d18Oc eq]]</f>
        <v>-3.182542937534599</v>
      </c>
      <c r="AD52" s="8">
        <f>Tableau4[[#This Row],[d18Oc eq SD]]+Tableau4[[#This Row],[d18O_CI (‰VPDB)]]</f>
        <v>0.36990268325496645</v>
      </c>
      <c r="AE52" s="16"/>
      <c r="AF52" s="16"/>
      <c r="AG52" s="16"/>
      <c r="AH52" s="16"/>
      <c r="AI52" s="2">
        <v>6.0908105831070047</v>
      </c>
      <c r="AJ52" s="2">
        <v>1.545564205013837</v>
      </c>
      <c r="AK52" s="2">
        <v>58.474617402504336</v>
      </c>
      <c r="AL52" s="2">
        <v>15.183789173857635</v>
      </c>
    </row>
    <row r="53" spans="1:38" ht="28.8" x14ac:dyDescent="0.3">
      <c r="A53" s="3" t="s">
        <v>64</v>
      </c>
      <c r="B53" s="4">
        <v>-45.96</v>
      </c>
      <c r="C53" s="4">
        <v>50.056666666666601</v>
      </c>
      <c r="D53" s="5">
        <v>200</v>
      </c>
      <c r="E53" s="3" t="s">
        <v>51</v>
      </c>
      <c r="F53" s="1" t="s">
        <v>33</v>
      </c>
      <c r="G53" s="1" t="s">
        <v>34</v>
      </c>
      <c r="H53" s="1" t="s">
        <v>93</v>
      </c>
      <c r="I53" s="13">
        <v>3.87</v>
      </c>
      <c r="J53" s="13">
        <v>0.6</v>
      </c>
      <c r="K53" s="4">
        <v>33.970999999999997</v>
      </c>
      <c r="L53" s="4">
        <v>0.02</v>
      </c>
      <c r="M53" s="4">
        <f t="shared" si="7"/>
        <v>-0.29696000000000033</v>
      </c>
      <c r="N53" s="2">
        <v>0.13200000000000001</v>
      </c>
      <c r="O53" s="1" t="s">
        <v>62</v>
      </c>
      <c r="P53" s="6">
        <v>1.1060000000000001</v>
      </c>
      <c r="Q53" s="1">
        <v>0.05</v>
      </c>
      <c r="R53" s="6">
        <v>2.0419999999999998</v>
      </c>
      <c r="S53" s="1">
        <v>0.1</v>
      </c>
      <c r="T53" s="8"/>
      <c r="U53" s="8"/>
      <c r="V53" s="1" t="s">
        <v>39</v>
      </c>
      <c r="W53" s="2">
        <f t="shared" si="5"/>
        <v>2.6189600000000004</v>
      </c>
      <c r="X53" s="2">
        <f t="shared" si="6"/>
        <v>0.23200000000000001</v>
      </c>
      <c r="Y53" s="8"/>
      <c r="Z53" s="8"/>
      <c r="AA53" s="8">
        <f>(((EXP((17570/(273.15+Tableau4[[#This Row],[MAT (°C)]])-29.13)/1000)*(1000+Tableau4[[#This Row],[d18Osw_L.S (‰VSMOW)]]))-1000)-30.92)/1.03092</f>
        <v>3.5527078660240519</v>
      </c>
      <c r="AB53" s="8">
        <f>Tableau4[[#This Row],[d18Oc eq]]-(((EXP((17570/(273.15+Tableau4[[#This Row],[MAT (°C)]]+Tableau4[[#This Row],[T-var (°C)]])-29.13)/1000)*(1000+Tableau4[[#This Row],[d18Osw_L.S (‰VSMOW)]]-Tableau4[[#This Row],[d18Osw_L.S_E (‰VSMOW)]]))-1000)-30.92)/1.03092</f>
        <v>0.27004361726618153</v>
      </c>
      <c r="AC53" s="8">
        <f>Tableau4[[#This Row],[d18O (‰VPDB)]]-Tableau4[[#This Row],[d18Oc eq]]</f>
        <v>-1.510707866024052</v>
      </c>
      <c r="AD53" s="8">
        <f>Tableau4[[#This Row],[d18Oc eq SD]]+Tableau4[[#This Row],[d18O_CI (‰VPDB)]]</f>
        <v>0.37004361726618151</v>
      </c>
      <c r="AE53" s="16"/>
      <c r="AF53" s="16"/>
      <c r="AG53" s="16"/>
      <c r="AH53" s="16"/>
      <c r="AI53" s="2">
        <v>5.5919309759734546</v>
      </c>
      <c r="AJ53" s="2">
        <v>1.179428045618621</v>
      </c>
      <c r="AK53" s="2">
        <v>49.333849590856325</v>
      </c>
      <c r="AL53" s="2">
        <v>11.502269993430973</v>
      </c>
    </row>
    <row r="54" spans="1:38" ht="28.8" x14ac:dyDescent="0.3">
      <c r="A54" s="3" t="s">
        <v>65</v>
      </c>
      <c r="B54" s="4">
        <v>-46.1</v>
      </c>
      <c r="C54" s="4">
        <v>50.6383333333333</v>
      </c>
      <c r="D54" s="5">
        <f>(212+230)/2</f>
        <v>221</v>
      </c>
      <c r="E54" s="3" t="s">
        <v>51</v>
      </c>
      <c r="F54" s="1" t="s">
        <v>38</v>
      </c>
      <c r="G54" s="1" t="s">
        <v>34</v>
      </c>
      <c r="H54" s="1" t="s">
        <v>93</v>
      </c>
      <c r="I54" s="13">
        <v>3.67</v>
      </c>
      <c r="J54" s="13">
        <v>0.6</v>
      </c>
      <c r="K54" s="4">
        <v>34.005000000000003</v>
      </c>
      <c r="L54" s="4">
        <v>0.03</v>
      </c>
      <c r="M54" s="4">
        <f t="shared" si="7"/>
        <v>-0.28879999999999839</v>
      </c>
      <c r="N54" s="2">
        <v>0.13200000000000001</v>
      </c>
      <c r="O54" s="1" t="s">
        <v>62</v>
      </c>
      <c r="P54" s="6">
        <v>1.127</v>
      </c>
      <c r="Q54" s="1">
        <v>0.05</v>
      </c>
      <c r="R54" s="6">
        <v>2.2149999999999999</v>
      </c>
      <c r="S54" s="1">
        <v>0.1</v>
      </c>
      <c r="T54" s="8"/>
      <c r="U54" s="8"/>
      <c r="V54" s="1" t="s">
        <v>39</v>
      </c>
      <c r="W54" s="2">
        <f t="shared" si="5"/>
        <v>2.7837999999999985</v>
      </c>
      <c r="X54" s="2">
        <f t="shared" si="6"/>
        <v>0.23200000000000001</v>
      </c>
      <c r="Y54" s="8"/>
      <c r="Z54" s="8"/>
      <c r="AA54" s="8">
        <f>(((EXP((17570/(273.15+Tableau4[[#This Row],[MAT (°C)]])-29.13)/1000)*(1000+Tableau4[[#This Row],[d18Osw_L.S (‰VSMOW)]]))-1000)-30.92)/1.03092</f>
        <v>3.6068875351421266</v>
      </c>
      <c r="AB54" s="8">
        <f>Tableau4[[#This Row],[d18Oc eq]]-(((EXP((17570/(273.15+Tableau4[[#This Row],[MAT (°C)]]+Tableau4[[#This Row],[T-var (°C)]])-29.13)/1000)*(1000+Tableau4[[#This Row],[d18Osw_L.S (‰VSMOW)]]-Tableau4[[#This Row],[d18Osw_L.S_E (‰VSMOW)]]))-1000)-30.92)/1.03092</f>
        <v>0.270255704759093</v>
      </c>
      <c r="AC54" s="8">
        <f>Tableau4[[#This Row],[d18O (‰VPDB)]]-Tableau4[[#This Row],[d18Oc eq]]</f>
        <v>-1.3918875351421267</v>
      </c>
      <c r="AD54" s="8">
        <f>Tableau4[[#This Row],[d18Oc eq SD]]+Tableau4[[#This Row],[d18O_CI (‰VPDB)]]</f>
        <v>0.37025570475909297</v>
      </c>
      <c r="AE54" s="16"/>
      <c r="AF54" s="16"/>
      <c r="AG54" s="16"/>
      <c r="AH54" s="16"/>
      <c r="AI54" s="2">
        <v>5.5691830696152662</v>
      </c>
      <c r="AJ54" s="2">
        <v>1.2048606283846743</v>
      </c>
      <c r="AK54" s="2">
        <v>51.413734095464307</v>
      </c>
      <c r="AL54" s="2">
        <v>11.66486071987755</v>
      </c>
    </row>
    <row r="55" spans="1:38" ht="28.8" x14ac:dyDescent="0.3">
      <c r="A55" s="3" t="s">
        <v>66</v>
      </c>
      <c r="B55" s="2">
        <v>-46.475000000000001</v>
      </c>
      <c r="C55" s="2">
        <v>50.5833333333333</v>
      </c>
      <c r="D55" s="12">
        <v>211</v>
      </c>
      <c r="E55" s="3" t="s">
        <v>51</v>
      </c>
      <c r="F55" s="1" t="s">
        <v>33</v>
      </c>
      <c r="G55" s="1" t="s">
        <v>34</v>
      </c>
      <c r="H55" s="1" t="s">
        <v>93</v>
      </c>
      <c r="I55" s="13">
        <v>3.31</v>
      </c>
      <c r="J55" s="13">
        <v>0.8</v>
      </c>
      <c r="K55" s="4">
        <v>34</v>
      </c>
      <c r="L55" s="4">
        <v>0.02</v>
      </c>
      <c r="M55" s="4">
        <f t="shared" si="7"/>
        <v>-0.28999999999999915</v>
      </c>
      <c r="N55" s="2">
        <v>0.13200000000000001</v>
      </c>
      <c r="O55" s="1" t="s">
        <v>62</v>
      </c>
      <c r="P55" s="2">
        <v>0.57661486775335646</v>
      </c>
      <c r="Q55" s="1">
        <v>0.05</v>
      </c>
      <c r="R55" s="2">
        <v>1.9624309099060646</v>
      </c>
      <c r="S55" s="1">
        <v>0.1</v>
      </c>
      <c r="T55" s="8"/>
      <c r="U55" s="8"/>
      <c r="V55" s="1" t="s">
        <v>39</v>
      </c>
      <c r="W55" s="2">
        <f t="shared" si="5"/>
        <v>2.532430909906064</v>
      </c>
      <c r="X55" s="2">
        <f t="shared" si="6"/>
        <v>0.23200000000000001</v>
      </c>
      <c r="Y55" s="8"/>
      <c r="Z55" s="8"/>
      <c r="AA55" s="8">
        <f>(((EXP((17570/(273.15+Tableau4[[#This Row],[MAT (°C)]])-29.13)/1000)*(1000+Tableau4[[#This Row],[d18Osw_L.S (‰VSMOW)]]))-1000)-30.92)/1.03092</f>
        <v>3.6886346091389215</v>
      </c>
      <c r="AB55" s="8">
        <f>Tableau4[[#This Row],[d18Oc eq]]-(((EXP((17570/(273.15+Tableau4[[#This Row],[MAT (°C)]]+Tableau4[[#This Row],[T-var (°C)]])-29.13)/1000)*(1000+Tableau4[[#This Row],[d18Osw_L.S (‰VSMOW)]]-Tableau4[[#This Row],[d18Osw_L.S_E (‰VSMOW)]]))-1000)-30.92)/1.03092</f>
        <v>0.31653645098593586</v>
      </c>
      <c r="AC55" s="8">
        <f>Tableau4[[#This Row],[d18O (‰VPDB)]]-Tableau4[[#This Row],[d18Oc eq]]</f>
        <v>-1.7262036992328569</v>
      </c>
      <c r="AD55" s="8">
        <f>Tableau4[[#This Row],[d18Oc eq SD]]+Tableau4[[#This Row],[d18O_CI (‰VPDB)]]</f>
        <v>0.41653645098593584</v>
      </c>
      <c r="AE55" s="16"/>
      <c r="AF55" s="16"/>
      <c r="AG55" s="16"/>
      <c r="AH55" s="16"/>
      <c r="AI55" s="2">
        <v>9.7474245322803217</v>
      </c>
      <c r="AJ55" s="2">
        <v>1.2557489254507752</v>
      </c>
      <c r="AK55" s="2">
        <v>46.630791840351485</v>
      </c>
      <c r="AL55" s="2">
        <v>11.769689750655349</v>
      </c>
    </row>
    <row r="56" spans="1:38" ht="28.8" x14ac:dyDescent="0.3">
      <c r="A56" s="3" t="s">
        <v>67</v>
      </c>
      <c r="B56" s="2">
        <v>-46.548333300000003</v>
      </c>
      <c r="C56" s="2">
        <v>51.783333333333303</v>
      </c>
      <c r="D56" s="12">
        <v>200</v>
      </c>
      <c r="E56" s="3" t="s">
        <v>51</v>
      </c>
      <c r="F56" s="1" t="s">
        <v>33</v>
      </c>
      <c r="G56" s="1" t="s">
        <v>34</v>
      </c>
      <c r="H56" s="1" t="s">
        <v>93</v>
      </c>
      <c r="I56" s="13">
        <v>3.38</v>
      </c>
      <c r="J56" s="13">
        <v>0.8</v>
      </c>
      <c r="K56" s="4">
        <v>33.988</v>
      </c>
      <c r="L56" s="4">
        <v>0.02</v>
      </c>
      <c r="M56" s="4">
        <f t="shared" si="7"/>
        <v>-0.29288000000000025</v>
      </c>
      <c r="N56" s="2">
        <v>0.13200000000000001</v>
      </c>
      <c r="O56" s="1" t="s">
        <v>62</v>
      </c>
      <c r="P56" s="2">
        <v>-1.0641697272097694</v>
      </c>
      <c r="Q56" s="1">
        <v>0.05</v>
      </c>
      <c r="R56" s="2">
        <v>1.3427705920880193</v>
      </c>
      <c r="S56" s="1">
        <v>0.1</v>
      </c>
      <c r="T56" s="8"/>
      <c r="U56" s="8"/>
      <c r="V56" s="1" t="s">
        <v>39</v>
      </c>
      <c r="W56" s="2">
        <f t="shared" si="5"/>
        <v>1.9156505920880196</v>
      </c>
      <c r="X56" s="2">
        <f t="shared" si="6"/>
        <v>0.23200000000000001</v>
      </c>
      <c r="Y56" s="8"/>
      <c r="Z56" s="8"/>
      <c r="AA56" s="8">
        <f>(((EXP((17570/(273.15+Tableau4[[#This Row],[MAT (°C)]])-29.13)/1000)*(1000+Tableau4[[#This Row],[d18Osw_L.S (‰VSMOW)]]))-1000)-30.92)/1.03092</f>
        <v>3.6695962343196129</v>
      </c>
      <c r="AB56" s="8">
        <f>Tableau4[[#This Row],[d18Oc eq]]-(((EXP((17570/(273.15+Tableau4[[#This Row],[MAT (°C)]]+Tableau4[[#This Row],[T-var (°C)]])-29.13)/1000)*(1000+Tableau4[[#This Row],[d18Osw_L.S (‰VSMOW)]]-Tableau4[[#This Row],[d18Osw_L.S_E (‰VSMOW)]]))-1000)-30.92)/1.03092</f>
        <v>0.31643782483442751</v>
      </c>
      <c r="AC56" s="8">
        <f>Tableau4[[#This Row],[d18O (‰VPDB)]]-Tableau4[[#This Row],[d18Oc eq]]</f>
        <v>-2.3268256422315936</v>
      </c>
      <c r="AD56" s="8">
        <f>Tableau4[[#This Row],[d18Oc eq SD]]+Tableau4[[#This Row],[d18O_CI (‰VPDB)]]</f>
        <v>0.41643782483442748</v>
      </c>
      <c r="AE56" s="16"/>
      <c r="AF56" s="16"/>
      <c r="AG56" s="16"/>
      <c r="AH56" s="16"/>
      <c r="AI56" s="2">
        <v>5.5332326640141742</v>
      </c>
      <c r="AJ56" s="2">
        <v>1.3702622348903624</v>
      </c>
      <c r="AK56" s="2">
        <v>51.726887214643327</v>
      </c>
      <c r="AL56" s="2">
        <v>12.787611354772308</v>
      </c>
    </row>
    <row r="57" spans="1:38" ht="28.8" x14ac:dyDescent="0.3">
      <c r="A57" s="3" t="s">
        <v>68</v>
      </c>
      <c r="B57" s="2">
        <v>-46.123333299999999</v>
      </c>
      <c r="C57" s="2">
        <v>50.771666666666597</v>
      </c>
      <c r="D57" s="12">
        <v>297.5</v>
      </c>
      <c r="E57" s="3" t="s">
        <v>51</v>
      </c>
      <c r="F57" s="1" t="s">
        <v>33</v>
      </c>
      <c r="G57" s="1" t="s">
        <v>34</v>
      </c>
      <c r="H57" s="1" t="s">
        <v>93</v>
      </c>
      <c r="I57" s="9">
        <v>3.22</v>
      </c>
      <c r="J57" s="9">
        <v>0.2</v>
      </c>
      <c r="K57" s="4">
        <v>34.113</v>
      </c>
      <c r="L57" s="4">
        <v>0.01</v>
      </c>
      <c r="M57" s="4">
        <f t="shared" si="7"/>
        <v>-0.26287999999999911</v>
      </c>
      <c r="N57" s="2">
        <v>0.13200000000000001</v>
      </c>
      <c r="O57" s="1" t="s">
        <v>62</v>
      </c>
      <c r="P57" s="2">
        <v>0.8840867581916072</v>
      </c>
      <c r="Q57" s="1">
        <v>0.05</v>
      </c>
      <c r="R57" s="2">
        <v>2.5704008180622075</v>
      </c>
      <c r="S57" s="1">
        <v>0.1</v>
      </c>
      <c r="T57" s="8"/>
      <c r="U57" s="8"/>
      <c r="V57" s="1" t="s">
        <v>39</v>
      </c>
      <c r="W57" s="2">
        <f t="shared" si="5"/>
        <v>3.1132808180622069</v>
      </c>
      <c r="X57" s="2">
        <f t="shared" si="6"/>
        <v>0.23200000000000001</v>
      </c>
      <c r="Y57" s="8"/>
      <c r="Z57" s="8"/>
      <c r="AA57" s="8">
        <f>(((EXP((17570/(273.15+Tableau4[[#This Row],[MAT (°C)]])-29.13)/1000)*(1000+Tableau4[[#This Row],[d18Osw_L.S (‰VSMOW)]]))-1000)-30.92)/1.03092</f>
        <v>3.7366358820257037</v>
      </c>
      <c r="AB57" s="8">
        <f>Tableau4[[#This Row],[d18Oc eq]]-(((EXP((17570/(273.15+Tableau4[[#This Row],[MAT (°C)]]+Tableau4[[#This Row],[T-var (°C)]])-29.13)/1000)*(1000+Tableau4[[#This Row],[d18Osw_L.S (‰VSMOW)]]-Tableau4[[#This Row],[d18Osw_L.S_E (‰VSMOW)]]))-1000)-30.92)/1.03092</f>
        <v>0.17866601877308064</v>
      </c>
      <c r="AC57" s="8">
        <f>Tableau4[[#This Row],[d18O (‰VPDB)]]-Tableau4[[#This Row],[d18Oc eq]]</f>
        <v>-1.1662350639634962</v>
      </c>
      <c r="AD57" s="8">
        <f>Tableau4[[#This Row],[d18Oc eq SD]]+Tableau4[[#This Row],[d18O_CI (‰VPDB)]]</f>
        <v>0.27866601877308061</v>
      </c>
      <c r="AE57" s="16"/>
      <c r="AF57" s="16"/>
      <c r="AG57" s="16"/>
      <c r="AH57" s="16"/>
      <c r="AI57" s="2">
        <v>7.4606942514932921</v>
      </c>
      <c r="AJ57" s="2">
        <v>1.2492650829068734</v>
      </c>
      <c r="AK57" s="2">
        <v>51.648783711229754</v>
      </c>
      <c r="AL57" s="2">
        <v>13.035974672204409</v>
      </c>
    </row>
    <row r="58" spans="1:38" ht="28.8" x14ac:dyDescent="0.3">
      <c r="A58" s="3" t="s">
        <v>69</v>
      </c>
      <c r="B58" s="2">
        <v>-46.6666667</v>
      </c>
      <c r="C58" s="2">
        <v>51.674999999999997</v>
      </c>
      <c r="D58" s="12">
        <v>325</v>
      </c>
      <c r="E58" s="3" t="s">
        <v>51</v>
      </c>
      <c r="F58" s="1" t="s">
        <v>33</v>
      </c>
      <c r="G58" s="1" t="s">
        <v>34</v>
      </c>
      <c r="H58" s="1" t="s">
        <v>93</v>
      </c>
      <c r="I58" s="9">
        <v>2.8</v>
      </c>
      <c r="J58" s="9">
        <v>0.6</v>
      </c>
      <c r="K58" s="4">
        <v>34.161000000000001</v>
      </c>
      <c r="L58" s="4">
        <v>0.01</v>
      </c>
      <c r="M58" s="4">
        <f t="shared" si="7"/>
        <v>-0.25136000000000003</v>
      </c>
      <c r="N58" s="2">
        <v>0.13200000000000001</v>
      </c>
      <c r="O58" s="1" t="s">
        <v>62</v>
      </c>
      <c r="P58" s="2">
        <v>2.2685768914564104</v>
      </c>
      <c r="Q58" s="1">
        <v>0.05</v>
      </c>
      <c r="R58" s="2">
        <v>3.1849026851995106</v>
      </c>
      <c r="S58" s="1">
        <v>0.1</v>
      </c>
      <c r="T58" s="8"/>
      <c r="U58" s="8"/>
      <c r="V58" s="1" t="s">
        <v>39</v>
      </c>
      <c r="W58" s="2">
        <f t="shared" si="5"/>
        <v>3.7162626851995109</v>
      </c>
      <c r="X58" s="2">
        <f t="shared" si="6"/>
        <v>0.23200000000000001</v>
      </c>
      <c r="Y58" s="8"/>
      <c r="Z58" s="8"/>
      <c r="AA58" s="8">
        <f>(((EXP((17570/(273.15+Tableau4[[#This Row],[MAT (°C)]])-29.13)/1000)*(1000+Tableau4[[#This Row],[d18Osw_L.S (‰VSMOW)]]))-1000)-30.92)/1.03092</f>
        <v>3.8453302147319888</v>
      </c>
      <c r="AB58" s="8">
        <f>Tableau4[[#This Row],[d18Oc eq]]-(((EXP((17570/(273.15+Tableau4[[#This Row],[MAT (°C)]]+Tableau4[[#This Row],[T-var (°C)]])-29.13)/1000)*(1000+Tableau4[[#This Row],[d18Osw_L.S (‰VSMOW)]]-Tableau4[[#This Row],[d18Osw_L.S_E (‰VSMOW)]]))-1000)-30.92)/1.03092</f>
        <v>0.27118404754470093</v>
      </c>
      <c r="AC58" s="8">
        <f>Tableau4[[#This Row],[d18O (‰VPDB)]]-Tableau4[[#This Row],[d18Oc eq]]</f>
        <v>-0.66042752953247819</v>
      </c>
      <c r="AD58" s="8">
        <f>Tableau4[[#This Row],[d18Oc eq SD]]+Tableau4[[#This Row],[d18O_CI (‰VPDB)]]</f>
        <v>0.37118404754470091</v>
      </c>
      <c r="AE58" s="16"/>
      <c r="AF58" s="16"/>
      <c r="AG58" s="16"/>
      <c r="AH58" s="16"/>
      <c r="AI58" s="2">
        <v>9.9417925500925044</v>
      </c>
      <c r="AJ58" s="2">
        <v>1.3711081349707017</v>
      </c>
      <c r="AK58" s="2">
        <v>48.006477686376556</v>
      </c>
      <c r="AL58" s="2">
        <v>12.288470051857072</v>
      </c>
    </row>
    <row r="59" spans="1:38" ht="28.8" x14ac:dyDescent="0.3">
      <c r="A59" s="3" t="s">
        <v>70</v>
      </c>
      <c r="B59" s="4">
        <v>-45.801666699999998</v>
      </c>
      <c r="C59" s="4">
        <v>49.762500000000003</v>
      </c>
      <c r="D59" s="5">
        <v>355</v>
      </c>
      <c r="E59" s="3" t="s">
        <v>51</v>
      </c>
      <c r="F59" s="1" t="s">
        <v>33</v>
      </c>
      <c r="G59" s="1" t="s">
        <v>34</v>
      </c>
      <c r="H59" s="1" t="s">
        <v>93</v>
      </c>
      <c r="I59" s="13">
        <v>3.14</v>
      </c>
      <c r="J59" s="13">
        <v>0.3</v>
      </c>
      <c r="K59" s="4">
        <v>34.158000000000001</v>
      </c>
      <c r="L59" s="4">
        <v>0.01</v>
      </c>
      <c r="M59" s="4">
        <f t="shared" si="7"/>
        <v>-0.25207999999999942</v>
      </c>
      <c r="N59" s="2">
        <v>0.13200000000000001</v>
      </c>
      <c r="O59" s="1" t="s">
        <v>62</v>
      </c>
      <c r="P59" s="2">
        <v>1.3930929754407941</v>
      </c>
      <c r="Q59" s="1">
        <v>0.05</v>
      </c>
      <c r="R59" s="2">
        <v>2.7820853825549214</v>
      </c>
      <c r="S59" s="1">
        <v>0.1</v>
      </c>
      <c r="T59" s="8"/>
      <c r="U59" s="8"/>
      <c r="V59" s="1" t="s">
        <v>39</v>
      </c>
      <c r="W59" s="2">
        <f t="shared" si="5"/>
        <v>3.3141653825549211</v>
      </c>
      <c r="X59" s="2">
        <f t="shared" si="6"/>
        <v>0.23200000000000001</v>
      </c>
      <c r="Y59" s="8"/>
      <c r="Z59" s="8"/>
      <c r="AA59" s="8">
        <f>(((EXP((17570/(273.15+Tableau4[[#This Row],[MAT (°C)]])-29.13)/1000)*(1000+Tableau4[[#This Row],[d18Osw_L.S (‰VSMOW)]]))-1000)-30.92)/1.03092</f>
        <v>3.7659562025813988</v>
      </c>
      <c r="AB59" s="8">
        <f>Tableau4[[#This Row],[d18Oc eq]]-(((EXP((17570/(273.15+Tableau4[[#This Row],[MAT (°C)]]+Tableau4[[#This Row],[T-var (°C)]])-29.13)/1000)*(1000+Tableau4[[#This Row],[d18Osw_L.S (‰VSMOW)]]-Tableau4[[#This Row],[d18Osw_L.S_E (‰VSMOW)]]))-1000)-30.92)/1.03092</f>
        <v>0.20175368950298633</v>
      </c>
      <c r="AC59" s="8">
        <f>Tableau4[[#This Row],[d18O (‰VPDB)]]-Tableau4[[#This Row],[d18Oc eq]]</f>
        <v>-0.98387082002647741</v>
      </c>
      <c r="AD59" s="8">
        <f>Tableau4[[#This Row],[d18Oc eq SD]]+Tableau4[[#This Row],[d18O_CI (‰VPDB)]]</f>
        <v>0.30175368950298631</v>
      </c>
      <c r="AE59" s="16"/>
      <c r="AF59" s="16"/>
      <c r="AG59" s="16"/>
      <c r="AH59" s="16"/>
      <c r="AI59" s="2">
        <v>8.4592757953816466</v>
      </c>
      <c r="AJ59" s="2">
        <v>1.1832383002547786</v>
      </c>
      <c r="AK59" s="2">
        <v>48.791263692086986</v>
      </c>
      <c r="AL59" s="2">
        <v>12.303527954132413</v>
      </c>
    </row>
    <row r="60" spans="1:38" ht="28.8" x14ac:dyDescent="0.3">
      <c r="A60" s="3" t="s">
        <v>71</v>
      </c>
      <c r="B60" s="1">
        <v>-67.569999999999993</v>
      </c>
      <c r="C60" s="1">
        <v>-68.14</v>
      </c>
      <c r="D60" s="14">
        <v>20</v>
      </c>
      <c r="E60" s="1" t="s">
        <v>32</v>
      </c>
      <c r="F60" s="1" t="s">
        <v>33</v>
      </c>
      <c r="G60" s="1" t="s">
        <v>34</v>
      </c>
      <c r="H60" s="1" t="s">
        <v>93</v>
      </c>
      <c r="I60" s="1">
        <v>-1.1000000000000001</v>
      </c>
      <c r="J60" s="1">
        <v>0.4</v>
      </c>
      <c r="K60" s="1">
        <v>33.299999999999997</v>
      </c>
      <c r="L60" s="1">
        <v>0.2</v>
      </c>
      <c r="M60" s="4">
        <f>K60*0.23-8.11</f>
        <v>-0.45099999999999962</v>
      </c>
      <c r="N60" s="2">
        <v>7.4999999999999997E-2</v>
      </c>
      <c r="O60" s="1" t="s">
        <v>73</v>
      </c>
      <c r="P60" s="2">
        <v>-1.6857926866768533</v>
      </c>
      <c r="Q60" s="1">
        <v>0.05</v>
      </c>
      <c r="R60" s="2">
        <v>1.8693400293267146</v>
      </c>
      <c r="S60" s="1">
        <v>0.1</v>
      </c>
      <c r="T60" s="8"/>
      <c r="U60" s="8"/>
      <c r="V60" s="1" t="s">
        <v>39</v>
      </c>
      <c r="W60" s="2">
        <f t="shared" si="5"/>
        <v>2.6003400293267145</v>
      </c>
      <c r="X60" s="2">
        <f t="shared" si="6"/>
        <v>0.17499999999999999</v>
      </c>
      <c r="Y60" s="8"/>
      <c r="Z60" s="8"/>
      <c r="AA60" s="8">
        <f>(((EXP((17570/(273.15+Tableau4[[#This Row],[MAT (°C)]])-29.13)/1000)*(1000+Tableau4[[#This Row],[d18Osw_L.S (‰VSMOW)]]))-1000)-30.92)/1.03092</f>
        <v>4.5613786019771974</v>
      </c>
      <c r="AB60" s="8">
        <f>Tableau4[[#This Row],[d18Oc eq]]-(((EXP((17570/(273.15+Tableau4[[#This Row],[MAT (°C)]]+Tableau4[[#This Row],[T-var (°C)]])-29.13)/1000)*(1000+Tableau4[[#This Row],[d18Osw_L.S (‰VSMOW)]]-Tableau4[[#This Row],[d18Osw_L.S_E (‰VSMOW)]]))-1000)-30.92)/1.03092</f>
        <v>0.17061612505200774</v>
      </c>
      <c r="AC60" s="8">
        <f>Tableau4[[#This Row],[d18O (‰VPDB)]]-Tableau4[[#This Row],[d18Oc eq]]</f>
        <v>-2.6920385726504827</v>
      </c>
      <c r="AD60" s="8">
        <f>Tableau4[[#This Row],[d18Oc eq SD]]+Tableau4[[#This Row],[d18O_CI (‰VPDB)]]</f>
        <v>0.27061612505200772</v>
      </c>
      <c r="AE60" s="16"/>
      <c r="AF60" s="16"/>
      <c r="AG60" s="16"/>
      <c r="AH60" s="16"/>
      <c r="AI60" s="2">
        <v>20.173083057190926</v>
      </c>
      <c r="AJ60" s="2">
        <v>2.0534338400854506</v>
      </c>
      <c r="AK60" s="2">
        <v>56.019918145404091</v>
      </c>
      <c r="AL60" s="2">
        <v>18.275840818152787</v>
      </c>
    </row>
    <row r="61" spans="1:38" ht="28.8" x14ac:dyDescent="0.3">
      <c r="A61" s="3" t="s">
        <v>72</v>
      </c>
      <c r="B61" s="2">
        <v>-66.633333300000004</v>
      </c>
      <c r="C61" s="2">
        <v>143.083333333333</v>
      </c>
      <c r="D61" s="12">
        <v>868.5</v>
      </c>
      <c r="E61" s="3" t="s">
        <v>51</v>
      </c>
      <c r="F61" s="1" t="s">
        <v>33</v>
      </c>
      <c r="G61" s="1" t="s">
        <v>34</v>
      </c>
      <c r="H61" s="1" t="s">
        <v>93</v>
      </c>
      <c r="I61" s="1">
        <v>-1.9</v>
      </c>
      <c r="J61" s="1">
        <v>0.2</v>
      </c>
      <c r="K61" s="1">
        <v>34.700000000000003</v>
      </c>
      <c r="L61" s="1"/>
      <c r="M61" s="4">
        <f>K61*0.23-8.11</f>
        <v>-0.12899999999999867</v>
      </c>
      <c r="N61" s="2">
        <v>7.4999999999999997E-2</v>
      </c>
      <c r="O61" s="1" t="s">
        <v>73</v>
      </c>
      <c r="P61" s="2">
        <v>-0.46236581498894935</v>
      </c>
      <c r="Q61" s="1">
        <v>0.05</v>
      </c>
      <c r="R61" s="2">
        <v>2.7314755434179183</v>
      </c>
      <c r="S61" s="1">
        <v>0.1</v>
      </c>
      <c r="T61" s="8"/>
      <c r="U61" s="8"/>
      <c r="V61" s="1" t="s">
        <v>39</v>
      </c>
      <c r="W61" s="2">
        <f t="shared" si="5"/>
        <v>3.1404755434179172</v>
      </c>
      <c r="X61" s="2">
        <f t="shared" si="6"/>
        <v>0.17499999999999999</v>
      </c>
      <c r="Y61" s="8"/>
      <c r="Z61" s="8"/>
      <c r="AA61" s="8">
        <f>(((EXP((17570/(273.15+Tableau4[[#This Row],[MAT (°C)]])-29.13)/1000)*(1000+Tableau4[[#This Row],[d18Osw_L.S (‰VSMOW)]]))-1000)-30.92)/1.03092</f>
        <v>5.0764193468892271</v>
      </c>
      <c r="AB61" s="8">
        <f>Tableau4[[#This Row],[d18Oc eq]]-(((EXP((17570/(273.15+Tableau4[[#This Row],[MAT (°C)]]+Tableau4[[#This Row],[T-var (°C)]])-29.13)/1000)*(1000+Tableau4[[#This Row],[d18Osw_L.S (‰VSMOW)]]-Tableau4[[#This Row],[d18Osw_L.S_E (‰VSMOW)]]))-1000)-30.92)/1.03092</f>
        <v>0.123352569765804</v>
      </c>
      <c r="AC61" s="8">
        <f>Tableau4[[#This Row],[d18O (‰VPDB)]]-Tableau4[[#This Row],[d18Oc eq]]</f>
        <v>-2.3449438034713088</v>
      </c>
      <c r="AD61" s="8">
        <f>Tableau4[[#This Row],[d18Oc eq SD]]+Tableau4[[#This Row],[d18O_CI (‰VPDB)]]</f>
        <v>0.223352569765804</v>
      </c>
      <c r="AE61" s="16"/>
      <c r="AF61" s="16"/>
      <c r="AG61" s="16"/>
      <c r="AH61" s="16"/>
      <c r="AI61" s="2">
        <v>5.3924976721450966</v>
      </c>
      <c r="AJ61" s="2">
        <v>1.3680024976732297</v>
      </c>
      <c r="AK61" s="2">
        <v>56.747092851592754</v>
      </c>
      <c r="AL61" s="2">
        <v>15.477279684669218</v>
      </c>
    </row>
    <row r="62" spans="1:38" ht="28.8" x14ac:dyDescent="0.3">
      <c r="A62" s="1" t="s">
        <v>74</v>
      </c>
      <c r="B62" s="1">
        <v>-20.87</v>
      </c>
      <c r="C62" s="1">
        <v>167.13</v>
      </c>
      <c r="D62" s="1">
        <v>10</v>
      </c>
      <c r="E62" s="3" t="s">
        <v>51</v>
      </c>
      <c r="F62" s="1" t="s">
        <v>38</v>
      </c>
      <c r="G62" s="1" t="s">
        <v>75</v>
      </c>
      <c r="H62" s="1" t="s">
        <v>76</v>
      </c>
      <c r="I62" s="1">
        <v>25.4</v>
      </c>
      <c r="J62" s="1">
        <v>1.8</v>
      </c>
      <c r="K62" s="1">
        <v>35.18</v>
      </c>
      <c r="L62" s="1">
        <v>0.1</v>
      </c>
      <c r="M62" s="2">
        <f>K62*0.27-8.88</f>
        <v>0.61859999999999893</v>
      </c>
      <c r="N62" s="2">
        <v>7.8E-2</v>
      </c>
      <c r="O62" s="1" t="s">
        <v>45</v>
      </c>
      <c r="P62" s="6">
        <v>1.472</v>
      </c>
      <c r="Q62" s="7">
        <v>0.05</v>
      </c>
      <c r="R62" s="6">
        <v>-1.1970000000000001</v>
      </c>
      <c r="S62" s="1">
        <v>0.1</v>
      </c>
      <c r="T62" s="8"/>
      <c r="U62" s="8"/>
      <c r="V62" s="1" t="s">
        <v>39</v>
      </c>
      <c r="W62" s="2">
        <f t="shared" si="5"/>
        <v>-1.535599999999999</v>
      </c>
      <c r="X62" s="2">
        <f t="shared" si="6"/>
        <v>0.17799999999999999</v>
      </c>
      <c r="Y62" s="8"/>
      <c r="Z62" s="8"/>
      <c r="AA62" s="8">
        <f>(((EXP((17570/(273.15+Tableau4[[#This Row],[MAT (°C)]])-29.13)/1000)*(1000+Tableau4[[#This Row],[d18Osw_L.S (‰VSMOW)]]))-1000)-30.92)/1.03092</f>
        <v>-0.11207871235562598</v>
      </c>
      <c r="AB62" s="8">
        <f>Tableau4[[#This Row],[d18Oc eq]]-(((EXP((17570/(273.15+Tableau4[[#This Row],[MAT (°C)]]+Tableau4[[#This Row],[T-var (°C)]])-29.13)/1000)*(1000+Tableau4[[#This Row],[d18Osw_L.S (‰VSMOW)]]-Tableau4[[#This Row],[d18Osw_L.S_E (‰VSMOW)]]))-1000)-30.92)/1.03092</f>
        <v>0.43050904926730665</v>
      </c>
      <c r="AC62" s="8">
        <f>Tableau4[[#This Row],[d18O (‰VPDB)]]-Tableau4[[#This Row],[d18Oc eq]]</f>
        <v>-1.0849212876443741</v>
      </c>
      <c r="AD62" s="8">
        <f>Tableau4[[#This Row],[d18Oc eq SD]]+Tableau4[[#This Row],[d18O_CI (‰VPDB)]]</f>
        <v>0.53050904926730669</v>
      </c>
      <c r="AE62" s="16"/>
      <c r="AF62" s="16"/>
      <c r="AG62" s="16"/>
      <c r="AH62" s="16"/>
      <c r="AI62" s="8"/>
      <c r="AJ62" s="8"/>
      <c r="AK62" s="8"/>
      <c r="AL62" s="8"/>
    </row>
    <row r="63" spans="1:38" ht="28.8" x14ac:dyDescent="0.3">
      <c r="A63" s="1" t="s">
        <v>74</v>
      </c>
      <c r="B63" s="1">
        <v>-20.87</v>
      </c>
      <c r="C63" s="1">
        <v>167.13</v>
      </c>
      <c r="D63" s="1">
        <v>10</v>
      </c>
      <c r="E63" s="3" t="s">
        <v>51</v>
      </c>
      <c r="F63" s="1" t="s">
        <v>33</v>
      </c>
      <c r="G63" s="1" t="s">
        <v>75</v>
      </c>
      <c r="H63" s="1" t="s">
        <v>76</v>
      </c>
      <c r="I63" s="1">
        <v>25.4</v>
      </c>
      <c r="J63" s="1">
        <v>1.8</v>
      </c>
      <c r="K63" s="1">
        <v>35.18</v>
      </c>
      <c r="L63" s="1">
        <v>0.1</v>
      </c>
      <c r="M63" s="2">
        <f>K63*0.27-8.88</f>
        <v>0.61859999999999893</v>
      </c>
      <c r="N63" s="2">
        <v>7.8E-2</v>
      </c>
      <c r="O63" s="1" t="s">
        <v>45</v>
      </c>
      <c r="P63" s="6">
        <v>1.4219999999999999</v>
      </c>
      <c r="Q63" s="7">
        <v>0.05</v>
      </c>
      <c r="R63" s="6">
        <v>-1.224</v>
      </c>
      <c r="S63" s="1">
        <v>0.1</v>
      </c>
      <c r="T63" s="8"/>
      <c r="U63" s="8"/>
      <c r="V63" s="1" t="s">
        <v>39</v>
      </c>
      <c r="W63" s="2">
        <f t="shared" si="5"/>
        <v>-1.5625999999999989</v>
      </c>
      <c r="X63" s="2">
        <f t="shared" si="6"/>
        <v>0.17799999999999999</v>
      </c>
      <c r="Y63" s="8"/>
      <c r="Z63" s="8"/>
      <c r="AA63" s="8">
        <f>(((EXP((17570/(273.15+Tableau4[[#This Row],[MAT (°C)]])-29.13)/1000)*(1000+Tableau4[[#This Row],[d18Osw_L.S (‰VSMOW)]]))-1000)-30.92)/1.03092</f>
        <v>-0.11207871235562598</v>
      </c>
      <c r="AB63" s="8">
        <f>Tableau4[[#This Row],[d18Oc eq]]-(((EXP((17570/(273.15+Tableau4[[#This Row],[MAT (°C)]]+Tableau4[[#This Row],[T-var (°C)]])-29.13)/1000)*(1000+Tableau4[[#This Row],[d18Osw_L.S (‰VSMOW)]]-Tableau4[[#This Row],[d18Osw_L.S_E (‰VSMOW)]]))-1000)-30.92)/1.03092</f>
        <v>0.43050904926730665</v>
      </c>
      <c r="AC63" s="8">
        <f>Tableau4[[#This Row],[d18O (‰VPDB)]]-Tableau4[[#This Row],[d18Oc eq]]</f>
        <v>-1.111921287644374</v>
      </c>
      <c r="AD63" s="8">
        <f>Tableau4[[#This Row],[d18Oc eq SD]]+Tableau4[[#This Row],[d18O_CI (‰VPDB)]]</f>
        <v>0.53050904926730669</v>
      </c>
      <c r="AE63" s="16"/>
      <c r="AF63" s="16"/>
      <c r="AG63" s="16"/>
      <c r="AH63" s="16"/>
      <c r="AI63" s="2">
        <v>14.652180948056145</v>
      </c>
      <c r="AJ63" s="2">
        <v>1.0801843876734041</v>
      </c>
      <c r="AK63" s="2">
        <v>22.447982945939039</v>
      </c>
      <c r="AL63" s="2">
        <v>9.0911184647258416</v>
      </c>
    </row>
    <row r="64" spans="1:38" x14ac:dyDescent="0.3">
      <c r="A64" s="3" t="s">
        <v>77</v>
      </c>
      <c r="B64" s="4">
        <v>16.350000000000001</v>
      </c>
      <c r="C64" s="4">
        <v>-60.9</v>
      </c>
      <c r="D64" s="5">
        <f>(111+162)/2</f>
        <v>136.5</v>
      </c>
      <c r="E64" s="1" t="s">
        <v>32</v>
      </c>
      <c r="F64" s="1" t="s">
        <v>38</v>
      </c>
      <c r="G64" s="1" t="s">
        <v>75</v>
      </c>
      <c r="H64" s="1" t="s">
        <v>76</v>
      </c>
      <c r="I64" s="1">
        <v>23.5</v>
      </c>
      <c r="J64" s="1">
        <v>3</v>
      </c>
      <c r="K64" s="1">
        <v>36.869999999999997</v>
      </c>
      <c r="L64" s="1">
        <v>0.12</v>
      </c>
      <c r="M64" s="4">
        <f>K64*0.15-4.61</f>
        <v>0.92049999999999876</v>
      </c>
      <c r="N64" s="2">
        <v>0.13100000000000001</v>
      </c>
      <c r="O64" s="1" t="s">
        <v>35</v>
      </c>
      <c r="P64" s="6">
        <v>1.073</v>
      </c>
      <c r="Q64" s="7">
        <v>0.05</v>
      </c>
      <c r="R64" s="6">
        <v>0.187</v>
      </c>
      <c r="S64" s="1">
        <v>0.1</v>
      </c>
      <c r="T64" s="8"/>
      <c r="U64" s="8"/>
      <c r="V64" s="1" t="s">
        <v>39</v>
      </c>
      <c r="W64" s="2">
        <f t="shared" si="5"/>
        <v>-0.45349999999999868</v>
      </c>
      <c r="X64" s="2">
        <f t="shared" si="6"/>
        <v>0.23100000000000001</v>
      </c>
      <c r="Y64" s="8"/>
      <c r="Z64" s="8"/>
      <c r="AA64" s="8">
        <f>(((EXP((17570/(273.15+Tableau4[[#This Row],[MAT (°C)]])-29.13)/1000)*(1000+Tableau4[[#This Row],[d18Osw_L.S (‰VSMOW)]]))-1000)-30.92)/1.03092</f>
        <v>0.56667616362620676</v>
      </c>
      <c r="AB64" s="8">
        <f>Tableau4[[#This Row],[d18Oc eq]]-(((EXP((17570/(273.15+Tableau4[[#This Row],[MAT (°C)]]+Tableau4[[#This Row],[T-var (°C)]])-29.13)/1000)*(1000+Tableau4[[#This Row],[d18Osw_L.S (‰VSMOW)]]-Tableau4[[#This Row],[d18Osw_L.S_E (‰VSMOW)]]))-1000)-30.92)/1.03092</f>
        <v>0.72400847931962631</v>
      </c>
      <c r="AC64" s="8">
        <f>Tableau4[[#This Row],[d18O (‰VPDB)]]-Tableau4[[#This Row],[d18Oc eq]]</f>
        <v>-0.37967616362620676</v>
      </c>
      <c r="AD64" s="8">
        <f>Tableau4[[#This Row],[d18Oc eq SD]]+Tableau4[[#This Row],[d18O_CI (‰VPDB)]]</f>
        <v>0.82400847931962629</v>
      </c>
      <c r="AE64" s="16"/>
      <c r="AF64" s="16"/>
      <c r="AG64" s="16"/>
      <c r="AH64" s="16"/>
      <c r="AI64" s="8"/>
      <c r="AJ64" s="8"/>
      <c r="AK64" s="8"/>
      <c r="AL64" s="8"/>
    </row>
    <row r="65" spans="1:38" x14ac:dyDescent="0.3">
      <c r="A65" s="3" t="s">
        <v>77</v>
      </c>
      <c r="B65" s="4">
        <v>16.350000000000001</v>
      </c>
      <c r="C65" s="4">
        <v>-60.9</v>
      </c>
      <c r="D65" s="5">
        <f>(111+162)/2</f>
        <v>136.5</v>
      </c>
      <c r="E65" s="1" t="s">
        <v>32</v>
      </c>
      <c r="F65" s="1" t="s">
        <v>33</v>
      </c>
      <c r="G65" s="1" t="s">
        <v>75</v>
      </c>
      <c r="H65" s="1" t="s">
        <v>76</v>
      </c>
      <c r="I65" s="1">
        <v>23.5</v>
      </c>
      <c r="J65" s="1">
        <v>3</v>
      </c>
      <c r="K65" s="1">
        <v>36.869999999999997</v>
      </c>
      <c r="L65" s="1">
        <v>0.12</v>
      </c>
      <c r="M65" s="4">
        <f>K65*0.15-4.61</f>
        <v>0.92049999999999876</v>
      </c>
      <c r="N65" s="2">
        <v>0.13100000000000001</v>
      </c>
      <c r="O65" s="1" t="s">
        <v>35</v>
      </c>
      <c r="P65" s="6">
        <v>1.036</v>
      </c>
      <c r="Q65" s="7">
        <v>0.05</v>
      </c>
      <c r="R65" s="6">
        <v>0.21</v>
      </c>
      <c r="S65" s="1">
        <v>0.1</v>
      </c>
      <c r="T65" s="8"/>
      <c r="U65" s="8"/>
      <c r="V65" s="1" t="s">
        <v>39</v>
      </c>
      <c r="W65" s="2">
        <f t="shared" si="5"/>
        <v>-0.43049999999999877</v>
      </c>
      <c r="X65" s="2">
        <f t="shared" si="6"/>
        <v>0.23100000000000001</v>
      </c>
      <c r="Y65" s="8"/>
      <c r="Z65" s="8"/>
      <c r="AA65" s="8">
        <f>(((EXP((17570/(273.15+Tableau4[[#This Row],[MAT (°C)]])-29.13)/1000)*(1000+Tableau4[[#This Row],[d18Osw_L.S (‰VSMOW)]]))-1000)-30.92)/1.03092</f>
        <v>0.56667616362620676</v>
      </c>
      <c r="AB65" s="8">
        <f>Tableau4[[#This Row],[d18Oc eq]]-(((EXP((17570/(273.15+Tableau4[[#This Row],[MAT (°C)]]+Tableau4[[#This Row],[T-var (°C)]])-29.13)/1000)*(1000+Tableau4[[#This Row],[d18Osw_L.S (‰VSMOW)]]-Tableau4[[#This Row],[d18Osw_L.S_E (‰VSMOW)]]))-1000)-30.92)/1.03092</f>
        <v>0.72400847931962631</v>
      </c>
      <c r="AC65" s="8">
        <f>Tableau4[[#This Row],[d18O (‰VPDB)]]-Tableau4[[#This Row],[d18Oc eq]]</f>
        <v>-0.3566761636262068</v>
      </c>
      <c r="AD65" s="8">
        <f>Tableau4[[#This Row],[d18Oc eq SD]]+Tableau4[[#This Row],[d18O_CI (‰VPDB)]]</f>
        <v>0.82400847931962629</v>
      </c>
      <c r="AE65" s="16"/>
      <c r="AF65" s="16"/>
      <c r="AG65" s="16"/>
      <c r="AH65" s="16"/>
      <c r="AI65" s="2">
        <v>25.296649143802316</v>
      </c>
      <c r="AJ65" s="2">
        <v>1.2236533163659409</v>
      </c>
      <c r="AK65" s="2">
        <v>28.595652639863889</v>
      </c>
      <c r="AL65" s="2">
        <v>12.421291188197149</v>
      </c>
    </row>
    <row r="66" spans="1:38" x14ac:dyDescent="0.3">
      <c r="A66" s="3" t="s">
        <v>78</v>
      </c>
      <c r="B66" s="4">
        <v>16.329999999999998</v>
      </c>
      <c r="C66" s="4">
        <v>-60.98</v>
      </c>
      <c r="D66" s="5">
        <v>250</v>
      </c>
      <c r="E66" s="1" t="s">
        <v>32</v>
      </c>
      <c r="F66" s="1" t="s">
        <v>33</v>
      </c>
      <c r="G66" s="1" t="s">
        <v>34</v>
      </c>
      <c r="H66" s="1" t="s">
        <v>76</v>
      </c>
      <c r="I66" s="1">
        <v>17.3</v>
      </c>
      <c r="J66" s="1">
        <v>1</v>
      </c>
      <c r="K66" s="1">
        <v>36.380000000000003</v>
      </c>
      <c r="L66" s="1">
        <v>0.03</v>
      </c>
      <c r="M66" s="4">
        <f>K66*0.15-4.61</f>
        <v>0.84699999999999953</v>
      </c>
      <c r="N66" s="2">
        <v>0.13100000000000001</v>
      </c>
      <c r="O66" s="1" t="s">
        <v>35</v>
      </c>
      <c r="P66" s="6">
        <v>1.75</v>
      </c>
      <c r="Q66" s="7">
        <v>0.01</v>
      </c>
      <c r="R66" s="6">
        <v>1.08</v>
      </c>
      <c r="S66" s="1">
        <v>0.02</v>
      </c>
      <c r="T66" s="8">
        <v>0.62480000000000002</v>
      </c>
      <c r="U66" s="8">
        <v>8.6E-3</v>
      </c>
      <c r="V66" s="1" t="s">
        <v>36</v>
      </c>
      <c r="W66" s="2">
        <f t="shared" ref="W66:W74" si="8">R66-M66+0.28</f>
        <v>0.51300000000000057</v>
      </c>
      <c r="X66" s="2">
        <f t="shared" ref="X66:X74" si="9">S66+N66</f>
        <v>0.151</v>
      </c>
      <c r="Y66" s="9">
        <f>SQRT((39100)/(T66-0.154))-273.15</f>
        <v>15.034190133065465</v>
      </c>
      <c r="Z66" s="9">
        <f>U66*((39100/((T66-0.154)^2))/(2*(Y66+273.15)))</f>
        <v>2.6320985929740472</v>
      </c>
      <c r="AA66" s="2">
        <f>(((EXP((17570/(273.15+Tableau4[[#This Row],[MAT (°C)]])-29.13)/1000)*(1000+Tableau4[[#This Row],[d18Osw_L.S (‰VSMOW)]]))-1000)-30.92)/1.03092</f>
        <v>1.7589186011239262</v>
      </c>
      <c r="AB66" s="2">
        <f>Tableau4[[#This Row],[d18Oc eq]]-(((EXP((17570/(273.15+Tableau4[[#This Row],[MAT (°C)]]+Tableau4[[#This Row],[T-var (°C)]])-29.13)/1000)*(1000+Tableau4[[#This Row],[d18Osw_L.S (‰VSMOW)]]-Tableau4[[#This Row],[d18Osw_L.S_E (‰VSMOW)]]))-1000)-30.92)/1.03092</f>
        <v>0.33899213870711864</v>
      </c>
      <c r="AC66" s="2">
        <f>Tableau4[[#This Row],[d18O (‰VPDB)]]-Tableau4[[#This Row],[d18Oc eq]]</f>
        <v>-0.6789186011239261</v>
      </c>
      <c r="AD66" s="2">
        <f>Tableau4[[#This Row],[d18Oc eq SD]]+Tableau4[[#This Row],[d18O_CI (‰VPDB)]]</f>
        <v>0.35899213870711866</v>
      </c>
      <c r="AE66" s="16">
        <f>0.0391*(1000000/((273.15+Tableau4[[#This Row],[MAT (°C)]])^2))+0.154</f>
        <v>0.61748319892666303</v>
      </c>
      <c r="AF66" s="16">
        <f>Tableau4[[#This Row],[D47 eq]]-(0.0391*(1000000/((273.15+Tableau4[[#This Row],[MAT (°C)]]+Tableau4[[#This Row],[T-var (°C)]])^2))+0.154)</f>
        <v>3.1750767927910539E-3</v>
      </c>
      <c r="AG66" s="16">
        <f>Tableau4[[#This Row],[D47 (‰ICDES)]]-Tableau4[[#This Row],[D47 eq]]</f>
        <v>7.316801073336987E-3</v>
      </c>
      <c r="AH66" s="16">
        <f>Tableau4[[#This Row],[D47 eq SD]]+Tableau4[[#This Row],[D47_CI]]</f>
        <v>1.1775076792791054E-2</v>
      </c>
      <c r="AI66" s="8"/>
      <c r="AJ66" s="8"/>
      <c r="AK66" s="8"/>
      <c r="AL66" s="8"/>
    </row>
    <row r="67" spans="1:38" x14ac:dyDescent="0.3">
      <c r="A67" s="3" t="s">
        <v>79</v>
      </c>
      <c r="B67" s="4">
        <v>15.8833333</v>
      </c>
      <c r="C67" s="4">
        <v>-61.4166666666666</v>
      </c>
      <c r="D67" s="5">
        <v>264</v>
      </c>
      <c r="E67" s="1" t="s">
        <v>32</v>
      </c>
      <c r="F67" s="1" t="s">
        <v>33</v>
      </c>
      <c r="G67" s="1" t="s">
        <v>34</v>
      </c>
      <c r="H67" s="1" t="s">
        <v>76</v>
      </c>
      <c r="I67" s="1">
        <v>16.2</v>
      </c>
      <c r="J67" s="1">
        <v>0.2</v>
      </c>
      <c r="K67" s="1">
        <v>36.22</v>
      </c>
      <c r="L67" s="1">
        <v>0.04</v>
      </c>
      <c r="M67" s="4">
        <f>K67*0.15-4.61</f>
        <v>0.82299999999999951</v>
      </c>
      <c r="N67" s="2">
        <v>0.13100000000000001</v>
      </c>
      <c r="O67" s="1" t="s">
        <v>35</v>
      </c>
      <c r="P67" s="6">
        <v>1.97</v>
      </c>
      <c r="Q67" s="7">
        <v>0.05</v>
      </c>
      <c r="R67" s="6">
        <v>1.22</v>
      </c>
      <c r="S67" s="1">
        <v>0.1</v>
      </c>
      <c r="T67" s="8">
        <v>0.63119999999999998</v>
      </c>
      <c r="U67" s="8">
        <v>8.6E-3</v>
      </c>
      <c r="V67" s="1" t="s">
        <v>36</v>
      </c>
      <c r="W67" s="2">
        <f t="shared" si="8"/>
        <v>0.67700000000000049</v>
      </c>
      <c r="X67" s="2">
        <f t="shared" si="9"/>
        <v>0.23100000000000001</v>
      </c>
      <c r="Y67" s="9">
        <f>SQRT((39100)/(T67-0.154))-273.15</f>
        <v>13.095165993217279</v>
      </c>
      <c r="Z67" s="9">
        <f>U67*((39100/((T67-0.154)^2))/(2*(Y67+273.15)))</f>
        <v>2.5793256784803735</v>
      </c>
      <c r="AA67" s="2">
        <f>(((EXP((17570/(273.15+Tableau4[[#This Row],[MAT (°C)]])-29.13)/1000)*(1000+Tableau4[[#This Row],[d18Osw_L.S (‰VSMOW)]]))-1000)-30.92)/1.03092</f>
        <v>1.965291346680853</v>
      </c>
      <c r="AB67" s="2">
        <f>Tableau4[[#This Row],[d18Oc eq]]-(((EXP((17570/(273.15+Tableau4[[#This Row],[MAT (°C)]]+Tableau4[[#This Row],[T-var (°C)]])-29.13)/1000)*(1000+Tableau4[[#This Row],[d18Osw_L.S (‰VSMOW)]]-Tableau4[[#This Row],[d18Osw_L.S_E (‰VSMOW)]]))-1000)-30.92)/1.03092</f>
        <v>0.17316810195739829</v>
      </c>
      <c r="AC67" s="2">
        <f>Tableau4[[#This Row],[d18O (‰VPDB)]]-Tableau4[[#This Row],[d18Oc eq]]</f>
        <v>-0.74529134668085306</v>
      </c>
      <c r="AD67" s="2">
        <f>Tableau4[[#This Row],[d18Oc eq SD]]+Tableau4[[#This Row],[d18O_CI (‰VPDB)]]</f>
        <v>0.27316810195739827</v>
      </c>
      <c r="AE67" s="16">
        <f>0.0391*(1000000/((273.15+Tableau4[[#This Row],[MAT (°C)]])^2))+0.154</f>
        <v>0.62101387535847574</v>
      </c>
      <c r="AF67" s="16">
        <f>Tableau4[[#This Row],[D47 eq]]-(0.0391*(1000000/((273.15+Tableau4[[#This Row],[MAT (°C)]]+Tableau4[[#This Row],[T-var (°C)]])^2))+0.154)</f>
        <v>6.4493536289289555E-4</v>
      </c>
      <c r="AG67" s="16">
        <f>Tableau4[[#This Row],[D47 (‰ICDES)]]-Tableau4[[#This Row],[D47 eq]]</f>
        <v>1.0186124641524241E-2</v>
      </c>
      <c r="AH67" s="16">
        <f>Tableau4[[#This Row],[D47 eq SD]]+Tableau4[[#This Row],[D47_CI]]</f>
        <v>9.2449353628928956E-3</v>
      </c>
      <c r="AI67" s="8"/>
      <c r="AJ67" s="8"/>
      <c r="AK67" s="8"/>
      <c r="AL67" s="8"/>
    </row>
    <row r="68" spans="1:38" ht="28.8" x14ac:dyDescent="0.3">
      <c r="A68" s="1" t="s">
        <v>80</v>
      </c>
      <c r="B68" s="1">
        <v>-22.9</v>
      </c>
      <c r="C68" s="1">
        <v>167.22</v>
      </c>
      <c r="D68" s="1">
        <v>416</v>
      </c>
      <c r="E68" s="3" t="s">
        <v>51</v>
      </c>
      <c r="F68" s="1" t="s">
        <v>38</v>
      </c>
      <c r="G68" s="1" t="s">
        <v>34</v>
      </c>
      <c r="H68" s="1" t="s">
        <v>76</v>
      </c>
      <c r="I68" s="1">
        <v>13.4</v>
      </c>
      <c r="J68" s="1">
        <v>1.2</v>
      </c>
      <c r="K68" s="1">
        <v>35.11</v>
      </c>
      <c r="L68" s="1">
        <v>0.05</v>
      </c>
      <c r="M68" s="2">
        <f>K68*0.27-8.88</f>
        <v>0.59970000000000034</v>
      </c>
      <c r="N68" s="2">
        <v>7.8E-2</v>
      </c>
      <c r="O68" s="1" t="s">
        <v>45</v>
      </c>
      <c r="P68" s="6">
        <v>1.865</v>
      </c>
      <c r="Q68" s="7">
        <v>0.05</v>
      </c>
      <c r="R68" s="6">
        <v>1.294</v>
      </c>
      <c r="S68" s="1">
        <v>0.1</v>
      </c>
      <c r="T68" s="8"/>
      <c r="U68" s="8"/>
      <c r="V68" s="1" t="s">
        <v>39</v>
      </c>
      <c r="W68" s="2">
        <f t="shared" si="8"/>
        <v>0.97429999999999972</v>
      </c>
      <c r="X68" s="2">
        <f t="shared" si="9"/>
        <v>0.17799999999999999</v>
      </c>
      <c r="Y68" s="8"/>
      <c r="Z68" s="8"/>
      <c r="AA68" s="8">
        <f>(((EXP((17570/(273.15+Tableau4[[#This Row],[MAT (°C)]])-29.13)/1000)*(1000+Tableau4[[#This Row],[d18Osw_L.S (‰VSMOW)]]))-1000)-30.92)/1.03092</f>
        <v>2.3362893955307009</v>
      </c>
      <c r="AB68" s="8">
        <f>Tableau4[[#This Row],[d18Oc eq]]-(((EXP((17570/(273.15+Tableau4[[#This Row],[MAT (°C)]]+Tableau4[[#This Row],[T-var (°C)]])-29.13)/1000)*(1000+Tableau4[[#This Row],[d18Osw_L.S (‰VSMOW)]]-Tableau4[[#This Row],[d18Osw_L.S_E (‰VSMOW)]]))-1000)-30.92)/1.03092</f>
        <v>0.33438387550758097</v>
      </c>
      <c r="AC68" s="8">
        <f>Tableau4[[#This Row],[d18O (‰VPDB)]]-Tableau4[[#This Row],[d18Oc eq]]</f>
        <v>-1.0422893955307009</v>
      </c>
      <c r="AD68" s="8">
        <f>Tableau4[[#This Row],[d18Oc eq SD]]+Tableau4[[#This Row],[d18O_CI (‰VPDB)]]</f>
        <v>0.43438387550758095</v>
      </c>
      <c r="AE68" s="16"/>
      <c r="AF68" s="16"/>
      <c r="AG68" s="16"/>
      <c r="AH68" s="16"/>
      <c r="AI68" s="8"/>
      <c r="AJ68" s="8"/>
      <c r="AK68" s="8"/>
      <c r="AL68" s="8"/>
    </row>
    <row r="69" spans="1:38" ht="28.8" x14ac:dyDescent="0.3">
      <c r="A69" s="1" t="s">
        <v>80</v>
      </c>
      <c r="B69" s="1">
        <v>-22.9</v>
      </c>
      <c r="C69" s="1">
        <v>167.22</v>
      </c>
      <c r="D69" s="1">
        <v>416</v>
      </c>
      <c r="E69" s="3" t="s">
        <v>51</v>
      </c>
      <c r="F69" s="1" t="s">
        <v>33</v>
      </c>
      <c r="G69" s="1" t="s">
        <v>34</v>
      </c>
      <c r="H69" s="1" t="s">
        <v>76</v>
      </c>
      <c r="I69" s="1">
        <v>13.4</v>
      </c>
      <c r="J69" s="1">
        <v>1.2</v>
      </c>
      <c r="K69" s="1">
        <v>35.11</v>
      </c>
      <c r="L69" s="1">
        <v>0.05</v>
      </c>
      <c r="M69" s="2">
        <f>K69*0.27-8.88</f>
        <v>0.59970000000000034</v>
      </c>
      <c r="N69" s="2">
        <v>7.8E-2</v>
      </c>
      <c r="O69" s="1" t="s">
        <v>45</v>
      </c>
      <c r="P69" s="6">
        <v>1.925</v>
      </c>
      <c r="Q69" s="7">
        <v>0.05</v>
      </c>
      <c r="R69" s="6">
        <v>1.323</v>
      </c>
      <c r="S69" s="1">
        <v>0.1</v>
      </c>
      <c r="T69" s="8"/>
      <c r="U69" s="8"/>
      <c r="V69" s="1" t="s">
        <v>39</v>
      </c>
      <c r="W69" s="2">
        <f t="shared" si="8"/>
        <v>1.0032999999999996</v>
      </c>
      <c r="X69" s="2">
        <f t="shared" si="9"/>
        <v>0.17799999999999999</v>
      </c>
      <c r="Y69" s="8"/>
      <c r="Z69" s="8"/>
      <c r="AA69" s="8">
        <f>(((EXP((17570/(273.15+Tableau4[[#This Row],[MAT (°C)]])-29.13)/1000)*(1000+Tableau4[[#This Row],[d18Osw_L.S (‰VSMOW)]]))-1000)-30.92)/1.03092</f>
        <v>2.3362893955307009</v>
      </c>
      <c r="AB69" s="8">
        <f>Tableau4[[#This Row],[d18Oc eq]]-(((EXP((17570/(273.15+Tableau4[[#This Row],[MAT (°C)]]+Tableau4[[#This Row],[T-var (°C)]])-29.13)/1000)*(1000+Tableau4[[#This Row],[d18Osw_L.S (‰VSMOW)]]-Tableau4[[#This Row],[d18Osw_L.S_E (‰VSMOW)]]))-1000)-30.92)/1.03092</f>
        <v>0.33438387550758097</v>
      </c>
      <c r="AC69" s="8">
        <f>Tableau4[[#This Row],[d18O (‰VPDB)]]-Tableau4[[#This Row],[d18Oc eq]]</f>
        <v>-1.013289395530701</v>
      </c>
      <c r="AD69" s="8">
        <f>Tableau4[[#This Row],[d18Oc eq SD]]+Tableau4[[#This Row],[d18O_CI (‰VPDB)]]</f>
        <v>0.43438387550758095</v>
      </c>
      <c r="AE69" s="16"/>
      <c r="AF69" s="16"/>
      <c r="AG69" s="16"/>
      <c r="AH69" s="16"/>
      <c r="AI69" s="2">
        <v>13.345651552688471</v>
      </c>
      <c r="AJ69" s="2">
        <v>1.0553987377819882</v>
      </c>
      <c r="AK69" s="2">
        <v>30.213676997458837</v>
      </c>
      <c r="AL69" s="2">
        <v>10.156104442634726</v>
      </c>
    </row>
    <row r="70" spans="1:38" ht="28.8" x14ac:dyDescent="0.3">
      <c r="A70" s="1" t="s">
        <v>81</v>
      </c>
      <c r="B70" s="1">
        <v>-18.77</v>
      </c>
      <c r="C70" s="1">
        <v>163.27000000000001</v>
      </c>
      <c r="D70" s="1">
        <v>600</v>
      </c>
      <c r="E70" s="3" t="s">
        <v>51</v>
      </c>
      <c r="F70" s="1" t="s">
        <v>38</v>
      </c>
      <c r="G70" s="1" t="s">
        <v>75</v>
      </c>
      <c r="H70" s="1" t="s">
        <v>76</v>
      </c>
      <c r="I70" s="1">
        <v>7.72</v>
      </c>
      <c r="J70" s="1">
        <v>0.6</v>
      </c>
      <c r="K70" s="1">
        <v>34.58</v>
      </c>
      <c r="L70" s="1">
        <v>0.03</v>
      </c>
      <c r="M70" s="2">
        <f>K70*0.27-8.88</f>
        <v>0.45659999999999989</v>
      </c>
      <c r="N70" s="2">
        <v>7.8E-2</v>
      </c>
      <c r="O70" s="1" t="s">
        <v>45</v>
      </c>
      <c r="P70" s="6">
        <v>1.925</v>
      </c>
      <c r="Q70" s="7">
        <v>0.05</v>
      </c>
      <c r="R70" s="6">
        <v>2.0609999999999999</v>
      </c>
      <c r="S70" s="1">
        <v>0.1</v>
      </c>
      <c r="T70" s="8"/>
      <c r="U70" s="8"/>
      <c r="V70" s="1" t="s">
        <v>39</v>
      </c>
      <c r="W70" s="2">
        <f t="shared" si="8"/>
        <v>1.8844000000000001</v>
      </c>
      <c r="X70" s="2">
        <f t="shared" si="9"/>
        <v>0.17799999999999999</v>
      </c>
      <c r="Y70" s="8"/>
      <c r="Z70" s="8"/>
      <c r="AA70" s="8">
        <f>(((EXP((17570/(273.15+Tableau4[[#This Row],[MAT (°C)]])-29.13)/1000)*(1000+Tableau4[[#This Row],[d18Osw_L.S (‰VSMOW)]]))-1000)-30.92)/1.03092</f>
        <v>3.436410017865636</v>
      </c>
      <c r="AB70" s="8">
        <f>Tableau4[[#This Row],[d18Oc eq]]-(((EXP((17570/(273.15+Tableau4[[#This Row],[MAT (°C)]]+Tableau4[[#This Row],[T-var (°C)]])-29.13)/1000)*(1000+Tableau4[[#This Row],[d18Osw_L.S (‰VSMOW)]]-Tableau4[[#This Row],[d18Osw_L.S_E (‰VSMOW)]]))-1000)-30.92)/1.03092</f>
        <v>0.21201890878911334</v>
      </c>
      <c r="AC70" s="8">
        <f>Tableau4[[#This Row],[d18O (‰VPDB)]]-Tableau4[[#This Row],[d18Oc eq]]</f>
        <v>-1.3754100178656361</v>
      </c>
      <c r="AD70" s="8">
        <f>Tableau4[[#This Row],[d18Oc eq SD]]+Tableau4[[#This Row],[d18O_CI (‰VPDB)]]</f>
        <v>0.31201890878911331</v>
      </c>
      <c r="AE70" s="16"/>
      <c r="AF70" s="16"/>
      <c r="AG70" s="16"/>
      <c r="AH70" s="16"/>
      <c r="AI70" s="8"/>
      <c r="AJ70" s="8"/>
      <c r="AK70" s="8"/>
      <c r="AL70" s="8"/>
    </row>
    <row r="71" spans="1:38" ht="28.8" x14ac:dyDescent="0.3">
      <c r="A71" s="1" t="s">
        <v>81</v>
      </c>
      <c r="B71" s="1">
        <v>-18.77</v>
      </c>
      <c r="C71" s="1">
        <v>163.27000000000001</v>
      </c>
      <c r="D71" s="1">
        <v>600</v>
      </c>
      <c r="E71" s="3" t="s">
        <v>51</v>
      </c>
      <c r="F71" s="1" t="s">
        <v>33</v>
      </c>
      <c r="G71" s="1" t="s">
        <v>75</v>
      </c>
      <c r="H71" s="1" t="s">
        <v>76</v>
      </c>
      <c r="I71" s="1">
        <v>7.72</v>
      </c>
      <c r="J71" s="1">
        <v>0.6</v>
      </c>
      <c r="K71" s="1">
        <v>34.58</v>
      </c>
      <c r="L71" s="1">
        <v>0.03</v>
      </c>
      <c r="M71" s="2">
        <f>K71*0.27-8.88</f>
        <v>0.45659999999999989</v>
      </c>
      <c r="N71" s="2">
        <v>7.8E-2</v>
      </c>
      <c r="O71" s="1" t="s">
        <v>45</v>
      </c>
      <c r="P71" s="6">
        <v>1.97</v>
      </c>
      <c r="Q71" s="7">
        <v>0.05</v>
      </c>
      <c r="R71" s="6">
        <v>2.0489999999999999</v>
      </c>
      <c r="S71" s="1">
        <v>0.1</v>
      </c>
      <c r="T71" s="8"/>
      <c r="U71" s="8"/>
      <c r="V71" s="1" t="s">
        <v>39</v>
      </c>
      <c r="W71" s="2">
        <f t="shared" si="8"/>
        <v>1.8724000000000001</v>
      </c>
      <c r="X71" s="2">
        <f t="shared" si="9"/>
        <v>0.17799999999999999</v>
      </c>
      <c r="Y71" s="8"/>
      <c r="Z71" s="8"/>
      <c r="AA71" s="8">
        <f>(((EXP((17570/(273.15+Tableau4[[#This Row],[MAT (°C)]])-29.13)/1000)*(1000+Tableau4[[#This Row],[d18Osw_L.S (‰VSMOW)]]))-1000)-30.92)/1.03092</f>
        <v>3.436410017865636</v>
      </c>
      <c r="AB71" s="8">
        <f>Tableau4[[#This Row],[d18Oc eq]]-(((EXP((17570/(273.15+Tableau4[[#This Row],[MAT (°C)]]+Tableau4[[#This Row],[T-var (°C)]])-29.13)/1000)*(1000+Tableau4[[#This Row],[d18Osw_L.S (‰VSMOW)]]-Tableau4[[#This Row],[d18Osw_L.S_E (‰VSMOW)]]))-1000)-30.92)/1.03092</f>
        <v>0.21201890878911334</v>
      </c>
      <c r="AC71" s="8">
        <f>Tableau4[[#This Row],[d18O (‰VPDB)]]-Tableau4[[#This Row],[d18Oc eq]]</f>
        <v>-1.3874100178656361</v>
      </c>
      <c r="AD71" s="8">
        <f>Tableau4[[#This Row],[d18Oc eq SD]]+Tableau4[[#This Row],[d18O_CI (‰VPDB)]]</f>
        <v>0.31201890878911331</v>
      </c>
      <c r="AE71" s="16"/>
      <c r="AF71" s="16"/>
      <c r="AG71" s="16"/>
      <c r="AH71" s="16"/>
      <c r="AI71" s="2">
        <v>24.897433995506415</v>
      </c>
      <c r="AJ71" s="2">
        <v>1.3594420420554958</v>
      </c>
      <c r="AK71" s="2">
        <v>33.470508388186133</v>
      </c>
      <c r="AL71" s="2">
        <v>14.207455843295833</v>
      </c>
    </row>
    <row r="72" spans="1:38" ht="28.8" x14ac:dyDescent="0.3">
      <c r="A72" s="3" t="s">
        <v>82</v>
      </c>
      <c r="B72" s="4">
        <v>-12.406666700000001</v>
      </c>
      <c r="C72" s="4">
        <v>11.045</v>
      </c>
      <c r="D72" s="5">
        <v>3431</v>
      </c>
      <c r="E72" s="3" t="s">
        <v>51</v>
      </c>
      <c r="F72" s="1" t="s">
        <v>38</v>
      </c>
      <c r="G72" s="1" t="s">
        <v>34</v>
      </c>
      <c r="H72" s="1" t="s">
        <v>76</v>
      </c>
      <c r="I72" s="1">
        <v>2.5</v>
      </c>
      <c r="J72" s="1">
        <v>0</v>
      </c>
      <c r="K72" s="1">
        <v>34.9</v>
      </c>
      <c r="L72" s="1">
        <v>0</v>
      </c>
      <c r="M72" s="4">
        <f>K72*0.51-17.75</f>
        <v>4.8999999999999488E-2</v>
      </c>
      <c r="N72" s="2">
        <v>0.105</v>
      </c>
      <c r="O72" s="1" t="s">
        <v>83</v>
      </c>
      <c r="P72" s="6">
        <v>1.6739999999999999</v>
      </c>
      <c r="Q72" s="7">
        <v>0.05</v>
      </c>
      <c r="R72" s="6">
        <v>3.556</v>
      </c>
      <c r="S72" s="1">
        <v>0.1</v>
      </c>
      <c r="T72" s="8"/>
      <c r="U72" s="8"/>
      <c r="V72" s="1" t="s">
        <v>39</v>
      </c>
      <c r="W72" s="2">
        <f t="shared" si="8"/>
        <v>3.7870000000000008</v>
      </c>
      <c r="X72" s="2">
        <f t="shared" si="9"/>
        <v>0.20500000000000002</v>
      </c>
      <c r="Y72" s="8"/>
      <c r="Z72" s="8"/>
      <c r="AA72" s="8">
        <f>(((EXP((17570/(273.15+Tableau4[[#This Row],[MAT (°C)]])-29.13)/1000)*(1000+Tableau4[[#This Row],[d18Osw_L.S (‰VSMOW)]]))-1000)-30.92)/1.03092</f>
        <v>4.2165062139098586</v>
      </c>
      <c r="AB72" s="8">
        <f>Tableau4[[#This Row],[d18Oc eq]]-(((EXP((17570/(273.15+Tableau4[[#This Row],[MAT (°C)]]+Tableau4[[#This Row],[T-var (°C)]])-29.13)/1000)*(1000+Tableau4[[#This Row],[d18Osw_L.S (‰VSMOW)]]-Tableau4[[#This Row],[d18Osw_L.S_E (‰VSMOW)]]))-1000)-30.92)/1.03092</f>
        <v>0.10543756671174798</v>
      </c>
      <c r="AC72" s="8">
        <f>Tableau4[[#This Row],[d18O (‰VPDB)]]-Tableau4[[#This Row],[d18Oc eq]]</f>
        <v>-0.66050621390985853</v>
      </c>
      <c r="AD72" s="8">
        <f>Tableau4[[#This Row],[d18Oc eq SD]]+Tableau4[[#This Row],[d18O_CI (‰VPDB)]]</f>
        <v>0.20543756671174798</v>
      </c>
      <c r="AE72" s="16"/>
      <c r="AF72" s="16"/>
      <c r="AG72" s="16"/>
      <c r="AH72" s="16"/>
      <c r="AI72" s="8"/>
      <c r="AJ72" s="8"/>
      <c r="AK72" s="8"/>
      <c r="AL72" s="8"/>
    </row>
    <row r="73" spans="1:38" ht="28.8" x14ac:dyDescent="0.3">
      <c r="A73" s="3" t="s">
        <v>82</v>
      </c>
      <c r="B73" s="4">
        <v>-12.406666700000001</v>
      </c>
      <c r="C73" s="4">
        <v>11.045</v>
      </c>
      <c r="D73" s="5">
        <v>3431</v>
      </c>
      <c r="E73" s="3" t="s">
        <v>51</v>
      </c>
      <c r="F73" s="1" t="s">
        <v>33</v>
      </c>
      <c r="G73" s="1" t="s">
        <v>34</v>
      </c>
      <c r="H73" s="1" t="s">
        <v>76</v>
      </c>
      <c r="I73" s="1">
        <v>2.5</v>
      </c>
      <c r="J73" s="1">
        <v>0</v>
      </c>
      <c r="K73" s="1">
        <v>34.9</v>
      </c>
      <c r="L73" s="1">
        <v>0</v>
      </c>
      <c r="M73" s="4">
        <f>K73*0.51-17.75</f>
        <v>4.8999999999999488E-2</v>
      </c>
      <c r="N73" s="2">
        <v>0.105</v>
      </c>
      <c r="O73" s="1" t="s">
        <v>83</v>
      </c>
      <c r="P73" s="6">
        <v>1.573</v>
      </c>
      <c r="Q73" s="7">
        <v>0.05</v>
      </c>
      <c r="R73" s="6">
        <v>3.4750000000000001</v>
      </c>
      <c r="S73" s="1">
        <v>0.1</v>
      </c>
      <c r="T73" s="8"/>
      <c r="U73" s="8"/>
      <c r="V73" s="1" t="s">
        <v>39</v>
      </c>
      <c r="W73" s="2">
        <f t="shared" si="8"/>
        <v>3.7060000000000004</v>
      </c>
      <c r="X73" s="2">
        <f t="shared" si="9"/>
        <v>0.20500000000000002</v>
      </c>
      <c r="Y73" s="8"/>
      <c r="Z73" s="8"/>
      <c r="AA73" s="8">
        <f>(((EXP((17570/(273.15+Tableau4[[#This Row],[MAT (°C)]])-29.13)/1000)*(1000+Tableau4[[#This Row],[d18Osw_L.S (‰VSMOW)]]))-1000)-30.92)/1.03092</f>
        <v>4.2165062139098586</v>
      </c>
      <c r="AB73" s="8">
        <f>Tableau4[[#This Row],[d18Oc eq]]-(((EXP((17570/(273.15+Tableau4[[#This Row],[MAT (°C)]]+Tableau4[[#This Row],[T-var (°C)]])-29.13)/1000)*(1000+Tableau4[[#This Row],[d18Osw_L.S (‰VSMOW)]]-Tableau4[[#This Row],[d18Osw_L.S_E (‰VSMOW)]]))-1000)-30.92)/1.03092</f>
        <v>0.10543756671174798</v>
      </c>
      <c r="AC73" s="8">
        <f>Tableau4[[#This Row],[d18O (‰VPDB)]]-Tableau4[[#This Row],[d18Oc eq]]</f>
        <v>-0.74150621390985849</v>
      </c>
      <c r="AD73" s="8">
        <f>Tableau4[[#This Row],[d18Oc eq SD]]+Tableau4[[#This Row],[d18O_CI (‰VPDB)]]</f>
        <v>0.20543756671174798</v>
      </c>
      <c r="AE73" s="16"/>
      <c r="AF73" s="16"/>
      <c r="AG73" s="16"/>
      <c r="AH73" s="16"/>
      <c r="AI73" s="2">
        <v>12.540813974134156</v>
      </c>
      <c r="AJ73" s="2">
        <v>1.0062499811729626</v>
      </c>
      <c r="AK73" s="2">
        <v>54.739198839824574</v>
      </c>
      <c r="AL73" s="2">
        <v>12.721751451934171</v>
      </c>
    </row>
    <row r="74" spans="1:38" ht="28.8" x14ac:dyDescent="0.3">
      <c r="A74" s="3" t="s">
        <v>84</v>
      </c>
      <c r="B74" s="4">
        <v>-66.633333300000004</v>
      </c>
      <c r="C74" s="4">
        <v>143.083333333333</v>
      </c>
      <c r="D74" s="5">
        <f>(862+875)/2</f>
        <v>868.5</v>
      </c>
      <c r="E74" s="3" t="s">
        <v>51</v>
      </c>
      <c r="F74" s="1" t="s">
        <v>33</v>
      </c>
      <c r="G74" s="1" t="s">
        <v>34</v>
      </c>
      <c r="H74" s="1" t="s">
        <v>76</v>
      </c>
      <c r="I74" s="1">
        <v>-1.9</v>
      </c>
      <c r="J74" s="1">
        <v>0.2</v>
      </c>
      <c r="K74" s="1">
        <v>34.700000000000003</v>
      </c>
      <c r="L74" s="1"/>
      <c r="M74" s="4">
        <f>K74*0.23-8.11</f>
        <v>-0.12899999999999867</v>
      </c>
      <c r="N74" s="2">
        <v>7.4999999999999997E-2</v>
      </c>
      <c r="O74" s="1" t="s">
        <v>73</v>
      </c>
      <c r="P74" s="6">
        <v>0.83699999999999997</v>
      </c>
      <c r="Q74" s="1">
        <v>0.05</v>
      </c>
      <c r="R74" s="6">
        <v>3.5739999999999998</v>
      </c>
      <c r="S74" s="1">
        <v>0.1</v>
      </c>
      <c r="T74" s="8"/>
      <c r="U74" s="8"/>
      <c r="V74" s="1" t="s">
        <v>39</v>
      </c>
      <c r="W74" s="2">
        <f t="shared" si="8"/>
        <v>3.9829999999999988</v>
      </c>
      <c r="X74" s="2">
        <f t="shared" si="9"/>
        <v>0.17499999999999999</v>
      </c>
      <c r="Y74" s="8"/>
      <c r="Z74" s="8"/>
      <c r="AA74" s="8">
        <f>(((EXP((17570/(273.15+Tableau4[[#This Row],[MAT (°C)]])-29.13)/1000)*(1000+Tableau4[[#This Row],[d18Osw_L.S (‰VSMOW)]]))-1000)-30.92)/1.03092</f>
        <v>5.0764193468892271</v>
      </c>
      <c r="AB74" s="8">
        <f>Tableau4[[#This Row],[d18Oc eq]]-(((EXP((17570/(273.15+Tableau4[[#This Row],[MAT (°C)]]+Tableau4[[#This Row],[T-var (°C)]])-29.13)/1000)*(1000+Tableau4[[#This Row],[d18Osw_L.S (‰VSMOW)]]-Tableau4[[#This Row],[d18Osw_L.S_E (‰VSMOW)]]))-1000)-30.92)/1.03092</f>
        <v>0.123352569765804</v>
      </c>
      <c r="AC74" s="8">
        <f>Tableau4[[#This Row],[d18O (‰VPDB)]]-Tableau4[[#This Row],[d18Oc eq]]</f>
        <v>-1.5024193468892273</v>
      </c>
      <c r="AD74" s="8">
        <f>Tableau4[[#This Row],[d18Oc eq SD]]+Tableau4[[#This Row],[d18O_CI (‰VPDB)]]</f>
        <v>0.223352569765804</v>
      </c>
      <c r="AE74" s="16"/>
      <c r="AF74" s="16"/>
      <c r="AG74" s="16"/>
      <c r="AH74" s="16"/>
      <c r="AI74" s="2">
        <v>5.7000886258222696</v>
      </c>
      <c r="AJ74" s="2">
        <v>1.2140551534010753</v>
      </c>
      <c r="AK74" s="2">
        <v>36.689706413914145</v>
      </c>
      <c r="AL74" s="2">
        <v>12.837991060902313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 description</vt:lpstr>
      <vt:lpstr>Data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2023-02-13T14:17:02Z</dcterms:modified>
</cp:coreProperties>
</file>